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Disque blanc\"/>
    </mc:Choice>
  </mc:AlternateContent>
  <xr:revisionPtr revIDLastSave="0" documentId="13_ncr:1_{A8E2578B-B379-45B2-9355-5ED794A4A649}" xr6:coauthVersionLast="47" xr6:coauthVersionMax="47" xr10:uidLastSave="{00000000-0000-0000-0000-000000000000}"/>
  <bookViews>
    <workbookView xWindow="-28920" yWindow="-465" windowWidth="29040" windowHeight="15840" xr2:uid="{B08AC0AD-55A7-4813-93E6-1072C75B6306}"/>
  </bookViews>
  <sheets>
    <sheet name="Aides" sheetId="5" r:id="rId1"/>
    <sheet name="Rapport final" sheetId="1" r:id="rId2"/>
    <sheet name="Déclaratif de l'événement" sheetId="3" r:id="rId3"/>
    <sheet name="Déclaratif Entité et Piscines" sheetId="4" r:id="rId4"/>
    <sheet name="Paramètres" sheetId="2" r:id="rId5"/>
  </sheets>
  <definedNames>
    <definedName name="ANCRAGE">Paramètres!$F$2:$F$15</definedName>
    <definedName name="CHOIX">Paramètres!$K$2:$L$3</definedName>
    <definedName name="DOUCHE">Paramètres!$M$20</definedName>
    <definedName name="DUREE_ECHAUF">Paramètres!$P$2:$P$16</definedName>
    <definedName name="DUREE_EPREUVE">Paramètres!$O$2:$O$11</definedName>
    <definedName name="Echauf_bi">Paramètres!$I$26</definedName>
    <definedName name="echauf_Préc">Paramètres!$I$25</definedName>
    <definedName name="Echauf_R">Paramètres!$I$28</definedName>
    <definedName name="echauf_SB">Paramètres!$I$27</definedName>
    <definedName name="Epreuve_B">Paramètres!$I$31</definedName>
    <definedName name="Epreuve_P">Paramètres!$I$30</definedName>
    <definedName name="epreuve_R">Paramètres!$I$33</definedName>
    <definedName name="epreuve_SB">Paramètres!$I$32</definedName>
    <definedName name="EVACUATION">Paramètres!$M$19</definedName>
    <definedName name="INFOS_CLUBS">'Déclaratif Entité et Piscines'!$A$2:$F$50</definedName>
    <definedName name="INFOS_PISCINE">'Déclaratif Entité et Piscines'!$H$2:$Q$50</definedName>
    <definedName name="Interechaufepreuv">Paramètres!$I$24</definedName>
    <definedName name="interpause">Paramètres!$I$23</definedName>
    <definedName name="MEDAILLE">Paramètres!$M$21</definedName>
    <definedName name="NBR_COMPET">Paramètres!$Q$2:$Q$41</definedName>
    <definedName name="NOM_PISCINES">'Déclaratif Entité et Piscines'!$H$2:$H$50</definedName>
    <definedName name="Presence">Paramètres!$K$2:$K$3</definedName>
    <definedName name="PROF_CIBLE">Paramètres!$A$2:$A$72</definedName>
    <definedName name="TPS_PAUSE">Paramètres!$N$5:$N$12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5" i="1" l="1"/>
  <c r="D101" i="1"/>
  <c r="D100" i="1"/>
  <c r="D99" i="1"/>
  <c r="D98" i="1"/>
  <c r="D97" i="1"/>
  <c r="D96" i="1"/>
  <c r="C101" i="1"/>
  <c r="C100" i="1"/>
  <c r="C99" i="1"/>
  <c r="C98" i="1"/>
  <c r="C97" i="1"/>
  <c r="C96" i="1"/>
  <c r="D95" i="1"/>
  <c r="C95" i="1"/>
  <c r="B95" i="1"/>
  <c r="A95" i="1"/>
  <c r="C93" i="1"/>
  <c r="A93" i="1"/>
  <c r="N79" i="1"/>
  <c r="N80" i="1"/>
  <c r="N81" i="1"/>
  <c r="N82" i="1"/>
  <c r="N83" i="1"/>
  <c r="N84" i="1"/>
  <c r="N85" i="1"/>
  <c r="N86" i="1"/>
  <c r="N87" i="1"/>
  <c r="N88" i="1"/>
  <c r="N89" i="1"/>
  <c r="N78" i="1"/>
  <c r="M89" i="1"/>
  <c r="M88" i="1"/>
  <c r="M87" i="1"/>
  <c r="M86" i="1"/>
  <c r="M85" i="1"/>
  <c r="M84" i="1"/>
  <c r="M83" i="1"/>
  <c r="M82" i="1"/>
  <c r="M81" i="1"/>
  <c r="M80" i="1"/>
  <c r="M79" i="1"/>
  <c r="M78" i="1"/>
  <c r="N77" i="1"/>
  <c r="M77" i="1"/>
  <c r="L77" i="1"/>
  <c r="K77" i="1"/>
  <c r="M75" i="1"/>
  <c r="F75" i="1"/>
  <c r="K57" i="1"/>
  <c r="H31" i="1"/>
  <c r="H32" i="1"/>
  <c r="H33" i="1"/>
  <c r="H34" i="1"/>
  <c r="H35" i="1"/>
  <c r="H30" i="1"/>
  <c r="C31" i="1"/>
  <c r="C32" i="1"/>
  <c r="C34" i="1"/>
  <c r="C30" i="1"/>
  <c r="F35" i="3"/>
  <c r="E30" i="3"/>
  <c r="A47" i="1"/>
  <c r="B47" i="1" s="1"/>
  <c r="E40" i="1"/>
  <c r="C40" i="1"/>
  <c r="B39" i="1"/>
  <c r="K12" i="1"/>
  <c r="A12" i="1"/>
  <c r="A7" i="1"/>
  <c r="C35" i="3"/>
  <c r="D19" i="3"/>
  <c r="D25" i="1" s="1"/>
  <c r="D18" i="3"/>
  <c r="D24" i="1" s="1"/>
  <c r="D17" i="3"/>
  <c r="D23" i="1" s="1"/>
  <c r="D16" i="3"/>
  <c r="D22" i="1" s="1"/>
  <c r="D15" i="3"/>
  <c r="D21" i="1" s="1"/>
  <c r="D14" i="3"/>
  <c r="D13" i="3"/>
  <c r="D19" i="1" s="1"/>
  <c r="D12" i="3"/>
  <c r="D20" i="1" s="1"/>
  <c r="D11" i="3"/>
  <c r="K14" i="1" s="1"/>
  <c r="I59" i="1"/>
  <c r="I60" i="1" s="1"/>
  <c r="I61" i="1" s="1"/>
  <c r="I62" i="1" s="1"/>
  <c r="I63" i="1" s="1"/>
  <c r="I64" i="1" s="1"/>
  <c r="I65" i="1" s="1"/>
  <c r="I66" i="1" s="1"/>
  <c r="I67" i="1" s="1"/>
  <c r="I68" i="1" s="1"/>
  <c r="I69" i="1" s="1"/>
  <c r="D59" i="1"/>
  <c r="D60" i="1" s="1"/>
  <c r="D61" i="1" s="1"/>
  <c r="D62" i="1" s="1"/>
  <c r="D63" i="1" s="1"/>
  <c r="D64" i="1" s="1"/>
  <c r="D65" i="1" s="1"/>
  <c r="D66" i="1" s="1"/>
  <c r="D67" i="1" s="1"/>
  <c r="D68" i="1" s="1"/>
  <c r="D69" i="1" s="1"/>
  <c r="E39" i="1" l="1"/>
  <c r="A48" i="1"/>
  <c r="B48" i="1" s="1"/>
  <c r="A49" i="1"/>
  <c r="B49" i="1" s="1"/>
  <c r="A50" i="1" s="1"/>
  <c r="B50" i="1" s="1"/>
  <c r="A58" i="1" s="1"/>
  <c r="B58" i="1" s="1"/>
  <c r="A59" i="1" l="1"/>
  <c r="B59" i="1" s="1"/>
  <c r="A60" i="1" l="1"/>
  <c r="B60" i="1" s="1"/>
  <c r="A61" i="1" s="1"/>
  <c r="B61" i="1" s="1"/>
  <c r="A62" i="1" s="1"/>
  <c r="B62" i="1" s="1"/>
  <c r="A63" i="1" l="1"/>
  <c r="B63" i="1" s="1"/>
  <c r="A64" i="1" l="1"/>
  <c r="B64" i="1" s="1"/>
  <c r="A65" i="1" l="1"/>
  <c r="B65" i="1" s="1"/>
  <c r="A66" i="1" l="1"/>
  <c r="B66" i="1" s="1"/>
  <c r="A67" i="1" l="1"/>
  <c r="B67" i="1" s="1"/>
  <c r="A68" i="1" s="1"/>
  <c r="B68" i="1" s="1"/>
  <c r="A69" i="1" s="1"/>
  <c r="B69" i="1" s="1"/>
  <c r="D55" i="1" s="1"/>
  <c r="N28" i="2" l="1"/>
  <c r="K58" i="1"/>
  <c r="L58" i="1" s="1"/>
  <c r="F58" i="1" s="1"/>
  <c r="G58" i="1" s="1"/>
  <c r="F59" i="1" l="1"/>
  <c r="G59" i="1" l="1"/>
  <c r="F60" i="1" l="1"/>
  <c r="G60" i="1" l="1"/>
  <c r="F61" i="1" l="1"/>
  <c r="G61" i="1" s="1"/>
  <c r="F62" i="1" s="1"/>
  <c r="G62" i="1" l="1"/>
  <c r="F63" i="1" s="1"/>
  <c r="G63" i="1" s="1"/>
  <c r="F64" i="1" s="1"/>
  <c r="G64" i="1" s="1"/>
  <c r="F65" i="1" s="1"/>
  <c r="G65" i="1" s="1"/>
  <c r="F66" i="1" s="1"/>
  <c r="G66" i="1" l="1"/>
  <c r="F67" i="1" s="1"/>
  <c r="G67" i="1" s="1"/>
  <c r="F68" i="1" s="1"/>
  <c r="G68" i="1" s="1"/>
  <c r="F69" i="1" s="1"/>
  <c r="G69" i="1" s="1"/>
  <c r="I55" i="1" s="1"/>
  <c r="N29" i="2" l="1"/>
  <c r="A78" i="1"/>
  <c r="B78" i="1" s="1"/>
  <c r="A79" i="1" l="1"/>
  <c r="B79" i="1" s="1"/>
  <c r="A80" i="1" s="1"/>
  <c r="B80" i="1" s="1"/>
  <c r="A81" i="1" s="1"/>
  <c r="B81" i="1" s="1"/>
  <c r="A82" i="1" s="1"/>
  <c r="B82" i="1" s="1"/>
  <c r="A83" i="1" s="1"/>
  <c r="B83" i="1" s="1"/>
  <c r="A84" i="1" s="1"/>
  <c r="B84" i="1" s="1"/>
  <c r="A85" i="1" s="1"/>
  <c r="B85" i="1" s="1"/>
  <c r="A86" i="1" s="1"/>
  <c r="B86" i="1" s="1"/>
  <c r="A87" i="1" s="1"/>
  <c r="B87" i="1" s="1"/>
  <c r="A88" i="1" s="1"/>
  <c r="B88" i="1" s="1"/>
  <c r="A89" i="1" l="1"/>
  <c r="B89" i="1" s="1"/>
  <c r="D75" i="1" s="1"/>
  <c r="F78" i="1" l="1"/>
  <c r="G78" i="1" s="1"/>
  <c r="F79" i="1" l="1"/>
  <c r="G79" i="1" s="1"/>
  <c r="F80" i="1" s="1"/>
  <c r="G80" i="1" s="1"/>
  <c r="F81" i="1" l="1"/>
  <c r="G81" i="1" l="1"/>
  <c r="F82" i="1" l="1"/>
  <c r="G82" i="1" l="1"/>
  <c r="F83" i="1" l="1"/>
  <c r="G83" i="1" l="1"/>
  <c r="F84" i="1" s="1"/>
  <c r="G84" i="1" l="1"/>
  <c r="F85" i="1" s="1"/>
  <c r="G85" i="1" l="1"/>
  <c r="F86" i="1" s="1"/>
  <c r="G86" i="1" l="1"/>
  <c r="F87" i="1" s="1"/>
  <c r="G87" i="1" s="1"/>
  <c r="F88" i="1" l="1"/>
  <c r="G88" i="1" l="1"/>
  <c r="F89" i="1" s="1"/>
  <c r="G89" i="1" s="1"/>
  <c r="I75" i="1" s="1"/>
  <c r="K78" i="1" l="1"/>
  <c r="L78" i="1" s="1"/>
  <c r="K79" i="1" s="1"/>
  <c r="L79" i="1" s="1"/>
  <c r="K80" i="1" s="1"/>
  <c r="L80" i="1" s="1"/>
  <c r="N30" i="2"/>
  <c r="K81" i="1" l="1"/>
  <c r="L81" i="1" s="1"/>
  <c r="K82" i="1" l="1"/>
  <c r="L82" i="1" s="1"/>
  <c r="K83" i="1" l="1"/>
  <c r="L83" i="1" s="1"/>
  <c r="K84" i="1" l="1"/>
  <c r="L84" i="1" s="1"/>
  <c r="K85" i="1" l="1"/>
  <c r="L85" i="1" s="1"/>
  <c r="K86" i="1" l="1"/>
  <c r="L86" i="1" s="1"/>
  <c r="K87" i="1" l="1"/>
  <c r="L87" i="1" s="1"/>
  <c r="K88" i="1" l="1"/>
  <c r="L88" i="1" s="1"/>
  <c r="K89" i="1" l="1"/>
  <c r="L89" i="1" s="1"/>
  <c r="N75" i="1" s="1"/>
  <c r="A96" i="1" l="1"/>
  <c r="B96" i="1" s="1"/>
  <c r="A97" i="1" s="1"/>
  <c r="B97" i="1" s="1"/>
  <c r="A98" i="1" s="1"/>
  <c r="B98" i="1" s="1"/>
  <c r="A99" i="1" s="1"/>
  <c r="B99" i="1" s="1"/>
  <c r="A100" i="1" s="1"/>
  <c r="B100" i="1" s="1"/>
  <c r="A101" i="1" s="1"/>
  <c r="B101" i="1" s="1"/>
  <c r="N31" i="2"/>
  <c r="D93" i="1" l="1"/>
  <c r="N32" i="2" s="1"/>
  <c r="F96" i="1" s="1"/>
  <c r="G96" i="1" s="1"/>
  <c r="F97" i="1" s="1"/>
  <c r="G97" i="1" s="1"/>
  <c r="F98" i="1" s="1"/>
  <c r="G98" i="1" s="1"/>
  <c r="F10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burcfre</author>
  </authors>
  <commentList>
    <comment ref="M1" authorId="0" shapeId="0" xr:uid="{C7A894C2-36BC-4F99-B1E8-EC998F4F5F64}">
      <text>
        <r>
          <rPr>
            <b/>
            <sz val="9"/>
            <color indexed="81"/>
            <rFont val="Tahoma"/>
            <family val="2"/>
          </rPr>
          <t>burcfre:</t>
        </r>
        <r>
          <rPr>
            <sz val="9"/>
            <color indexed="81"/>
            <rFont val="Tahoma"/>
            <family val="2"/>
          </rPr>
          <t xml:space="preserve">
</t>
        </r>
      </text>
    </comment>
  </commentList>
</comments>
</file>

<file path=xl/sharedStrings.xml><?xml version="1.0" encoding="utf-8"?>
<sst xmlns="http://schemas.openxmlformats.org/spreadsheetml/2006/main" count="281" uniqueCount="171">
  <si>
    <t>LOGO CLUB RECEPTION</t>
  </si>
  <si>
    <t>Présentations Caractéristique piscine</t>
  </si>
  <si>
    <t>Nombre ligne d'eau</t>
  </si>
  <si>
    <t>Profondeur cible</t>
  </si>
  <si>
    <t>Bonnet de bain</t>
  </si>
  <si>
    <t>Température eau</t>
  </si>
  <si>
    <t>Spécificité piscine :</t>
  </si>
  <si>
    <t>Longueur bassin</t>
  </si>
  <si>
    <t>Profondeur</t>
  </si>
  <si>
    <t>Nb ligne</t>
  </si>
  <si>
    <t>température eau</t>
  </si>
  <si>
    <t>Ancrage autorisé</t>
  </si>
  <si>
    <t>Gueuses seules</t>
  </si>
  <si>
    <t>Ventouses simples</t>
  </si>
  <si>
    <t>Ventouses doubles et simples</t>
  </si>
  <si>
    <t>Gueuses et ventouses</t>
  </si>
  <si>
    <t>Précision</t>
  </si>
  <si>
    <t>Biathlon</t>
  </si>
  <si>
    <t>Super Biathlon</t>
  </si>
  <si>
    <t>Relais</t>
  </si>
  <si>
    <t>Catégorie compétiteurs :</t>
  </si>
  <si>
    <t>Benjamin</t>
  </si>
  <si>
    <t>Minime</t>
  </si>
  <si>
    <t>Cadet</t>
  </si>
  <si>
    <t>Junior</t>
  </si>
  <si>
    <t>Senior</t>
  </si>
  <si>
    <t>Master</t>
  </si>
  <si>
    <t>Nombre max compétiteurs</t>
  </si>
  <si>
    <t>ACCUEIL CONTROLES, BRIEFING JUGES &amp; CONFIGURATION SITE</t>
  </si>
  <si>
    <t>De</t>
  </si>
  <si>
    <t>jusqu'à</t>
  </si>
  <si>
    <t>Actions</t>
  </si>
  <si>
    <t>Nbre de séries max</t>
  </si>
  <si>
    <t>Série n°</t>
  </si>
  <si>
    <t>Actions_1</t>
  </si>
  <si>
    <t>Actions_2</t>
  </si>
  <si>
    <t xml:space="preserve">Accueil </t>
  </si>
  <si>
    <t>Contrôle papier et paiements</t>
  </si>
  <si>
    <t>Contrôles arbalètes</t>
  </si>
  <si>
    <t>Briefing juges par le Directeur Compétition</t>
  </si>
  <si>
    <t>Echauffement</t>
  </si>
  <si>
    <t>Epreuve</t>
  </si>
  <si>
    <t>Règle</t>
  </si>
  <si>
    <t>Gestion temps</t>
  </si>
  <si>
    <t>Echauffement Précision</t>
  </si>
  <si>
    <t>Echauffement Biathlon</t>
  </si>
  <si>
    <t>Echauffement Super Biathlon</t>
  </si>
  <si>
    <t>Echauffement Relais</t>
  </si>
  <si>
    <t>Epreuve Précision</t>
  </si>
  <si>
    <t>Epreuve Biathlon</t>
  </si>
  <si>
    <t>Epreuve Super Biathlon</t>
  </si>
  <si>
    <t>Epreuve Relais</t>
  </si>
  <si>
    <t>Durée max</t>
  </si>
  <si>
    <t>PAUSE RESTAURATION :</t>
  </si>
  <si>
    <t>1°) - PRECISION :</t>
  </si>
  <si>
    <t>LES EPREUVES INDIVIDUELLES</t>
  </si>
  <si>
    <t>N° série</t>
  </si>
  <si>
    <t>Inter pause</t>
  </si>
  <si>
    <t>Inter échauffement-Epreuve</t>
  </si>
  <si>
    <t>CLOTURE COMPETITION, RANGEMENT, REMISE DES MEDAILLES</t>
  </si>
  <si>
    <t>2°) BIATHLON</t>
  </si>
  <si>
    <t>Présence</t>
  </si>
  <si>
    <t>Oui</t>
  </si>
  <si>
    <t>non</t>
  </si>
  <si>
    <t>þ</t>
  </si>
  <si>
    <t>ý</t>
  </si>
  <si>
    <t>Pause</t>
  </si>
  <si>
    <t>Non</t>
  </si>
  <si>
    <t>Durée pause</t>
  </si>
  <si>
    <t>3°) QUALIFICATIONS - SUPER BIATHLON</t>
  </si>
  <si>
    <t>Clôturé à</t>
  </si>
  <si>
    <t>Pause Restauration ?</t>
  </si>
  <si>
    <t>NOM Piscine :</t>
  </si>
  <si>
    <t>adresse piscine :</t>
  </si>
  <si>
    <t>nbre max compét :</t>
  </si>
  <si>
    <t>Système ancrage fond</t>
  </si>
  <si>
    <t>Revêtement piscine</t>
  </si>
  <si>
    <t>INFORMATIONS PISCINE</t>
  </si>
  <si>
    <t>INFORMATIONS STRUCTURE</t>
  </si>
  <si>
    <t>Transition Echauffement-Epreuve</t>
  </si>
  <si>
    <t>Transition Epreuve</t>
  </si>
  <si>
    <t>briefing Juges</t>
  </si>
  <si>
    <t>Contrôles Arbalètes</t>
  </si>
  <si>
    <t>Gestion des durées (max) en minutes</t>
  </si>
  <si>
    <t>Validation d'engagement sur la compétition</t>
  </si>
  <si>
    <t>Gestion Restauration</t>
  </si>
  <si>
    <t>SOUS L'EGIDE DE</t>
  </si>
  <si>
    <t>L'EVENEMENT</t>
  </si>
  <si>
    <t xml:space="preserve">NOM &amp; N° </t>
  </si>
  <si>
    <t>Date de l'événement</t>
  </si>
  <si>
    <t>Heure démarrage</t>
  </si>
  <si>
    <t xml:space="preserve">NOM CLUB RECEVEUR </t>
  </si>
  <si>
    <t>les palmés de la seille</t>
  </si>
  <si>
    <t>EGIDE</t>
  </si>
  <si>
    <t>COMMISSION REGION. T.S.C. GRAND EST FFESSM</t>
  </si>
  <si>
    <t>COMMISSION DEPART. T.S.C. - 01 FFESSM</t>
  </si>
  <si>
    <t>COMMISSION DEPART. T.S.C. - 08 FFESSM</t>
  </si>
  <si>
    <t>COMMISSION DEPART. T.S.C. - 51 FFESSM</t>
  </si>
  <si>
    <t>COMMISSION DEPART. T.S.C. - 52 FFESSM</t>
  </si>
  <si>
    <t>COMMISSION DEPART. T.S.C. - 54 FFESSM</t>
  </si>
  <si>
    <t>COMMISSION DEPART. T.S.C. - 55 FFESSM</t>
  </si>
  <si>
    <t>COMMISSION DEPART. T.S.C. - 57 FFESSM</t>
  </si>
  <si>
    <t>COMMISSION DEPART. T.S.C. - 67 FFESSM</t>
  </si>
  <si>
    <t>COMMISSION DEPART. T.S.C. - 68 FFESSM</t>
  </si>
  <si>
    <t>COMMISSION DEPART. T.S.C. - 88 FFESSM</t>
  </si>
  <si>
    <t xml:space="preserve">2 EME CHALLENGE DE DIEUZE </t>
  </si>
  <si>
    <t>Piscine intercommunale de Dieuze</t>
  </si>
  <si>
    <t>NOM Club</t>
  </si>
  <si>
    <t>N° FFESSM club</t>
  </si>
  <si>
    <t>Adresse siège social</t>
  </si>
  <si>
    <t>N° téléphone</t>
  </si>
  <si>
    <t>email</t>
  </si>
  <si>
    <t>adresse piscine</t>
  </si>
  <si>
    <t>Nom de la Piscine</t>
  </si>
  <si>
    <t>type de révêtement</t>
  </si>
  <si>
    <t>Ancrage</t>
  </si>
  <si>
    <t>Spécificité</t>
  </si>
  <si>
    <t>22 rue du moulin</t>
  </si>
  <si>
    <t>Type revetement</t>
  </si>
  <si>
    <t>Gros carrelages</t>
  </si>
  <si>
    <t>Petits carrelages</t>
  </si>
  <si>
    <t>INOX Plat</t>
  </si>
  <si>
    <t>INOX Picots</t>
  </si>
  <si>
    <t>Bâche</t>
  </si>
  <si>
    <t>Spécifité</t>
  </si>
  <si>
    <t>Bonnet obligatoire</t>
  </si>
  <si>
    <t>Bonnet facultatif</t>
  </si>
  <si>
    <t>Les palmés de la seille</t>
  </si>
  <si>
    <t>06-57-0105</t>
  </si>
  <si>
    <t>Espace association, 114 ch. du cavlaire - 57260 DIEUZE</t>
  </si>
  <si>
    <t>Président (NOM, Prénom)</t>
  </si>
  <si>
    <t>lespalmesdelaseille@gmail.com</t>
  </si>
  <si>
    <t>Longeur Bassin 
pour le TSC 
(en mètres)</t>
  </si>
  <si>
    <t>Nbr lignes 
d'eau</t>
  </si>
  <si>
    <t>CP - COMMUNE</t>
  </si>
  <si>
    <t>57260 - VAL DE BRIDE</t>
  </si>
  <si>
    <t>tempéture de 
l'eau 
généralement 
enregistrée en °cel</t>
  </si>
  <si>
    <t>Prof Cible
immergée</t>
  </si>
  <si>
    <t>Epreuve de la Précision</t>
  </si>
  <si>
    <t>Epreuve du Biathlon</t>
  </si>
  <si>
    <t>Epreuve du relais</t>
  </si>
  <si>
    <t>Epreuve du Super Biathlon (Q, 1/2, F)</t>
  </si>
  <si>
    <t>Epreuve du Super Biathlon (Q, F)</t>
  </si>
  <si>
    <t>MESSAGES</t>
  </si>
  <si>
    <t>Durée épreuve</t>
  </si>
  <si>
    <t>Durée echauff</t>
  </si>
  <si>
    <t>Nbr compét</t>
  </si>
  <si>
    <t>Accueil</t>
  </si>
  <si>
    <t>contrôle papier et paiements</t>
  </si>
  <si>
    <t>Briefin juges par le Directeur Compétition</t>
  </si>
  <si>
    <t>Présentations Caractéristiques piscine</t>
  </si>
  <si>
    <t>Evacuations bassin</t>
  </si>
  <si>
    <t>Douche</t>
  </si>
  <si>
    <t>Remise médaille</t>
  </si>
  <si>
    <t>clôture</t>
  </si>
  <si>
    <t>Classement des clôtures</t>
  </si>
  <si>
    <t>SuperBiathlon Q F</t>
  </si>
  <si>
    <t>SuperBiathlon Q 1/2F F</t>
  </si>
  <si>
    <t xml:space="preserve">Durée </t>
  </si>
  <si>
    <t>Evacuation</t>
  </si>
  <si>
    <t>durée :</t>
  </si>
  <si>
    <t>Remise médaille, pot</t>
  </si>
  <si>
    <t>Liste des épreuves :</t>
  </si>
  <si>
    <t>Nombre ligne d'eau :</t>
  </si>
  <si>
    <t>Longueur bassin :</t>
  </si>
  <si>
    <t>Profondeur cible :</t>
  </si>
  <si>
    <t>Système d'ancrage :</t>
  </si>
  <si>
    <t>Bonnet de bain :</t>
  </si>
  <si>
    <t>Température eau :</t>
  </si>
  <si>
    <t>Nombre final de compétiteurs inscrits</t>
  </si>
  <si>
    <t>Nbre de séries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</si>
</sst>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h]:mm:ss;@"/>
    <numFmt numFmtId="165" formatCode="[$-F400]h:mm:ss\ AM/PM"/>
    <numFmt numFmtId="166" formatCode="[$-F800]dddd\,\ mmmm\ dd\,\ yyyy"/>
    <numFmt numFmtId="167" formatCode="[$-409]h:mm:ss\ AM/PM;@"/>
    <numFmt numFmtId="171" formatCode="h:mm:ss;@"/>
    <numFmt numFmtId="172" formatCode="#,##0&quot; mètres&quot;"/>
    <numFmt numFmtId="175" formatCode="0.00&quot; mètres&quot;"/>
    <numFmt numFmtId="176" formatCode="0.00&quot;° celsius&quot;"/>
  </numFmts>
  <fonts count="16"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Wingdings"/>
      <charset val="2"/>
    </font>
    <font>
      <sz val="9"/>
      <color indexed="81"/>
      <name val="Tahoma"/>
      <family val="2"/>
    </font>
    <font>
      <b/>
      <sz val="9"/>
      <color indexed="81"/>
      <name val="Tahoma"/>
      <family val="2"/>
    </font>
    <font>
      <sz val="11"/>
      <color rgb="FFFF0000"/>
      <name val="Calibri"/>
      <family val="2"/>
      <scheme val="minor"/>
    </font>
    <font>
      <b/>
      <sz val="11"/>
      <color rgb="FFFF0000"/>
      <name val="Calibri"/>
      <family val="2"/>
      <scheme val="minor"/>
    </font>
    <font>
      <b/>
      <u/>
      <sz val="11"/>
      <color rgb="FFFF0000"/>
      <name val="Calibri"/>
      <family val="2"/>
      <scheme val="minor"/>
    </font>
    <font>
      <sz val="14"/>
      <color theme="1"/>
      <name val="Calibri"/>
      <family val="2"/>
      <scheme val="minor"/>
    </font>
    <font>
      <sz val="48"/>
      <color theme="1"/>
      <name val="Calibri"/>
      <family val="2"/>
      <scheme val="minor"/>
    </font>
    <font>
      <sz val="24"/>
      <color theme="1"/>
      <name val="Calibri"/>
      <family val="2"/>
      <scheme val="minor"/>
    </font>
    <font>
      <b/>
      <sz val="18"/>
      <color theme="1"/>
      <name val="Calibri"/>
      <family val="2"/>
      <scheme val="minor"/>
    </font>
    <font>
      <b/>
      <u/>
      <sz val="14"/>
      <color theme="1"/>
      <name val="Calibri"/>
      <family val="2"/>
      <scheme val="minor"/>
    </font>
    <font>
      <sz val="14"/>
      <color rgb="FF00B050"/>
      <name val="Wingdings"/>
      <charset val="2"/>
    </font>
    <font>
      <b/>
      <sz val="14"/>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s>
  <cellStyleXfs count="1">
    <xf numFmtId="0" fontId="0" fillId="0" borderId="0"/>
  </cellStyleXfs>
  <cellXfs count="139">
    <xf numFmtId="0" fontId="0" fillId="0" borderId="0" xfId="0"/>
    <xf numFmtId="0" fontId="0" fillId="0" borderId="0" xfId="0" applyAlignment="1">
      <alignment horizontal="right"/>
    </xf>
    <xf numFmtId="21" fontId="0" fillId="0" borderId="0" xfId="0" applyNumberFormat="1"/>
    <xf numFmtId="164" fontId="0" fillId="0" borderId="0" xfId="0" applyNumberFormat="1"/>
    <xf numFmtId="0" fontId="3" fillId="0" borderId="0" xfId="0" applyFont="1"/>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center"/>
    </xf>
    <xf numFmtId="0" fontId="0" fillId="0" borderId="0" xfId="0" applyAlignment="1">
      <alignment horizontal="center"/>
    </xf>
    <xf numFmtId="0" fontId="0" fillId="0" borderId="1" xfId="0" applyBorder="1" applyAlignment="1">
      <alignment horizontal="center"/>
    </xf>
    <xf numFmtId="0" fontId="0" fillId="0" borderId="13" xfId="0" applyBorder="1"/>
    <xf numFmtId="0" fontId="0" fillId="0" borderId="21" xfId="0" applyBorder="1"/>
    <xf numFmtId="0" fontId="0" fillId="0" borderId="15" xfId="0" applyBorder="1"/>
    <xf numFmtId="0" fontId="0" fillId="0" borderId="22" xfId="0" applyBorder="1"/>
    <xf numFmtId="0" fontId="0" fillId="2" borderId="13" xfId="0" applyFill="1" applyBorder="1"/>
    <xf numFmtId="0" fontId="0" fillId="2" borderId="21" xfId="0" applyFill="1" applyBorder="1"/>
    <xf numFmtId="0" fontId="0" fillId="2" borderId="15" xfId="0" applyFill="1" applyBorder="1"/>
    <xf numFmtId="0" fontId="0" fillId="2" borderId="22" xfId="0" applyFill="1" applyBorder="1"/>
    <xf numFmtId="0" fontId="0" fillId="2" borderId="13" xfId="0" applyFill="1" applyBorder="1" applyAlignment="1">
      <alignment horizontal="center" vertical="center"/>
    </xf>
    <xf numFmtId="0" fontId="0" fillId="2" borderId="16" xfId="0" applyFill="1" applyBorder="1"/>
    <xf numFmtId="0" fontId="0" fillId="2" borderId="14" xfId="0" applyFill="1" applyBorder="1" applyAlignment="1">
      <alignment horizontal="center" vertical="center"/>
    </xf>
    <xf numFmtId="0" fontId="0" fillId="2" borderId="2" xfId="0" applyFill="1" applyBorder="1"/>
    <xf numFmtId="0" fontId="0" fillId="2" borderId="15" xfId="0" applyFill="1" applyBorder="1" applyAlignment="1">
      <alignment horizontal="center" vertical="center"/>
    </xf>
    <xf numFmtId="0" fontId="0" fillId="2" borderId="4" xfId="0" applyFill="1" applyBorder="1"/>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7" xfId="0" applyFill="1" applyBorder="1"/>
    <xf numFmtId="0" fontId="0" fillId="3" borderId="0" xfId="0" applyFill="1"/>
    <xf numFmtId="0" fontId="6" fillId="3" borderId="0" xfId="0" applyFont="1" applyFill="1" applyAlignment="1">
      <alignment horizontal="left" wrapText="1"/>
    </xf>
    <xf numFmtId="0" fontId="0" fillId="4" borderId="23" xfId="0" applyFill="1" applyBorder="1"/>
    <xf numFmtId="0" fontId="0" fillId="4" borderId="24" xfId="0" applyFill="1" applyBorder="1"/>
    <xf numFmtId="0" fontId="0" fillId="2" borderId="17" xfId="0" applyFill="1"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0" fontId="0" fillId="4" borderId="17" xfId="0" applyFill="1" applyBorder="1" applyAlignment="1">
      <alignment horizontal="center"/>
    </xf>
    <xf numFmtId="166" fontId="0" fillId="4" borderId="3" xfId="0" applyNumberFormat="1" applyFill="1" applyBorder="1" applyAlignment="1">
      <alignment horizontal="center"/>
    </xf>
    <xf numFmtId="167" fontId="0" fillId="4" borderId="3" xfId="0" applyNumberFormat="1" applyFill="1" applyBorder="1" applyAlignment="1">
      <alignment horizontal="center"/>
    </xf>
    <xf numFmtId="0" fontId="0" fillId="0" borderId="0" xfId="0" applyNumberFormat="1"/>
    <xf numFmtId="1" fontId="0" fillId="4" borderId="6" xfId="0" applyNumberFormat="1" applyFill="1" applyBorder="1" applyAlignment="1">
      <alignment horizontal="center"/>
    </xf>
    <xf numFmtId="0" fontId="0" fillId="3" borderId="0" xfId="0" applyFill="1" applyAlignment="1">
      <alignment horizontal="center"/>
    </xf>
    <xf numFmtId="0" fontId="7" fillId="3" borderId="0" xfId="0" applyFont="1" applyFill="1" applyAlignment="1">
      <alignment horizontal="center"/>
    </xf>
    <xf numFmtId="0" fontId="0" fillId="4" borderId="3" xfId="0" applyFill="1" applyBorder="1" applyAlignment="1">
      <alignment horizontal="center"/>
    </xf>
    <xf numFmtId="0" fontId="0" fillId="4" borderId="6" xfId="0" applyFill="1" applyBorder="1" applyAlignment="1">
      <alignment horizontal="center"/>
    </xf>
    <xf numFmtId="171" fontId="0" fillId="5" borderId="6" xfId="0" applyNumberFormat="1" applyFill="1" applyBorder="1" applyAlignment="1">
      <alignment horizontal="center"/>
    </xf>
    <xf numFmtId="164" fontId="0" fillId="4" borderId="17" xfId="0" applyNumberFormat="1" applyFill="1" applyBorder="1" applyAlignment="1">
      <alignment horizontal="center"/>
    </xf>
    <xf numFmtId="164" fontId="0" fillId="4" borderId="3" xfId="0" applyNumberFormat="1" applyFill="1" applyBorder="1" applyAlignment="1">
      <alignment horizontal="center"/>
    </xf>
    <xf numFmtId="164" fontId="0" fillId="4" borderId="6" xfId="0" applyNumberFormat="1" applyFill="1" applyBorder="1" applyAlignment="1">
      <alignment horizontal="center"/>
    </xf>
    <xf numFmtId="164" fontId="0" fillId="4" borderId="9" xfId="0" applyNumberFormat="1" applyFill="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1" xfId="0" applyFont="1" applyBorder="1" applyAlignment="1">
      <alignment horizontal="center"/>
    </xf>
    <xf numFmtId="0" fontId="1" fillId="0" borderId="25" xfId="0" applyFont="1" applyBorder="1" applyAlignment="1">
      <alignment horizontal="center"/>
    </xf>
    <xf numFmtId="0" fontId="1" fillId="0" borderId="20" xfId="0" applyFont="1" applyBorder="1" applyAlignment="1">
      <alignment horizontal="center"/>
    </xf>
    <xf numFmtId="0" fontId="0" fillId="0" borderId="1" xfId="0" applyBorder="1" applyAlignment="1">
      <alignment horizontal="left"/>
    </xf>
    <xf numFmtId="0" fontId="0" fillId="0" borderId="0" xfId="0" applyAlignment="1">
      <alignment horizontal="left"/>
    </xf>
    <xf numFmtId="0" fontId="2" fillId="0" borderId="13" xfId="0" applyFont="1" applyBorder="1"/>
    <xf numFmtId="0" fontId="0" fillId="0" borderId="26" xfId="0" applyBorder="1"/>
    <xf numFmtId="0" fontId="0" fillId="0" borderId="14" xfId="0" applyBorder="1"/>
    <xf numFmtId="0" fontId="0" fillId="0" borderId="0" xfId="0" applyBorder="1"/>
    <xf numFmtId="0" fontId="0" fillId="0" borderId="27" xfId="0" applyBorder="1"/>
    <xf numFmtId="0" fontId="0" fillId="0" borderId="28" xfId="0" applyBorder="1"/>
    <xf numFmtId="0" fontId="0" fillId="0" borderId="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0" xfId="0" applyBorder="1" applyAlignment="1">
      <alignment horizontal="right"/>
    </xf>
    <xf numFmtId="20" fontId="0" fillId="0" borderId="1" xfId="0" applyNumberFormat="1"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0" fontId="2" fillId="0" borderId="14" xfId="0" applyFont="1" applyBorder="1"/>
    <xf numFmtId="0" fontId="9" fillId="0" borderId="0" xfId="0" applyFon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2" fillId="0" borderId="0" xfId="0" applyFont="1" applyBorder="1"/>
    <xf numFmtId="0" fontId="1" fillId="0" borderId="2" xfId="0" applyFont="1" applyBorder="1" applyAlignment="1">
      <alignment horizontal="center"/>
    </xf>
    <xf numFmtId="20" fontId="0" fillId="0" borderId="2" xfId="0" applyNumberFormat="1" applyBorder="1" applyAlignment="1">
      <alignment horizontal="center"/>
    </xf>
    <xf numFmtId="165" fontId="0" fillId="0" borderId="0" xfId="0" applyNumberFormat="1" applyBorder="1" applyAlignment="1">
      <alignment horizontal="left"/>
    </xf>
    <xf numFmtId="0" fontId="6" fillId="0" borderId="0" xfId="0" applyFont="1" applyBorder="1"/>
    <xf numFmtId="0" fontId="8" fillId="0" borderId="0" xfId="0" applyFont="1" applyBorder="1"/>
    <xf numFmtId="20" fontId="6" fillId="0" borderId="0" xfId="0" applyNumberFormat="1" applyFont="1" applyBorder="1" applyAlignment="1">
      <alignment horizontal="center"/>
    </xf>
    <xf numFmtId="0" fontId="1" fillId="0" borderId="0" xfId="0" applyFont="1" applyBorder="1"/>
    <xf numFmtId="165" fontId="0" fillId="0" borderId="27" xfId="0" applyNumberFormat="1" applyBorder="1" applyAlignment="1">
      <alignment horizontal="left"/>
    </xf>
    <xf numFmtId="0" fontId="1" fillId="0" borderId="0" xfId="0" applyFont="1" applyBorder="1" applyAlignment="1">
      <alignment horizontal="center"/>
    </xf>
    <xf numFmtId="0" fontId="1" fillId="0" borderId="27" xfId="0" applyFont="1" applyBorder="1"/>
    <xf numFmtId="20" fontId="0" fillId="0" borderId="0" xfId="0" applyNumberFormat="1" applyBorder="1" applyAlignment="1">
      <alignment horizontal="center"/>
    </xf>
    <xf numFmtId="0" fontId="0" fillId="0" borderId="27" xfId="0" applyBorder="1" applyAlignment="1">
      <alignment horizontal="center"/>
    </xf>
    <xf numFmtId="0" fontId="1" fillId="0" borderId="14" xfId="0" applyFont="1" applyBorder="1" applyAlignment="1">
      <alignment horizontal="center"/>
    </xf>
    <xf numFmtId="20" fontId="0" fillId="0" borderId="14" xfId="0" applyNumberFormat="1" applyBorder="1" applyAlignment="1">
      <alignment horizontal="center"/>
    </xf>
    <xf numFmtId="0" fontId="0" fillId="0" borderId="26" xfId="0" applyBorder="1" applyAlignment="1">
      <alignment horizontal="center" vertical="top"/>
    </xf>
    <xf numFmtId="0" fontId="0" fillId="0" borderId="21" xfId="0" applyBorder="1" applyAlignment="1">
      <alignment horizontal="center" vertical="top"/>
    </xf>
    <xf numFmtId="0" fontId="0" fillId="0" borderId="0"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0" fillId="0" borderId="22" xfId="0" applyBorder="1" applyAlignment="1">
      <alignment horizontal="center" vertical="top"/>
    </xf>
    <xf numFmtId="0" fontId="1" fillId="0" borderId="29" xfId="0" applyFont="1" applyBorder="1" applyAlignment="1">
      <alignment horizont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166" fontId="11" fillId="0" borderId="14" xfId="0" applyNumberFormat="1" applyFont="1" applyBorder="1" applyAlignment="1">
      <alignment horizontal="center" vertical="center"/>
    </xf>
    <xf numFmtId="166" fontId="11" fillId="0" borderId="0" xfId="0" applyNumberFormat="1" applyFont="1" applyBorder="1" applyAlignment="1">
      <alignment horizontal="center" vertical="center"/>
    </xf>
    <xf numFmtId="0" fontId="12" fillId="0" borderId="0" xfId="0" applyFont="1" applyBorder="1" applyAlignment="1">
      <alignment horizontal="center"/>
    </xf>
    <xf numFmtId="0" fontId="12" fillId="0" borderId="27" xfId="0" applyFont="1" applyBorder="1" applyAlignment="1">
      <alignment horizontal="center"/>
    </xf>
    <xf numFmtId="0" fontId="13" fillId="0" borderId="14" xfId="0" applyFont="1" applyBorder="1"/>
    <xf numFmtId="0" fontId="9" fillId="0" borderId="0" xfId="0" applyFont="1" applyBorder="1"/>
    <xf numFmtId="0" fontId="9" fillId="0" borderId="14" xfId="0" applyFont="1" applyBorder="1"/>
    <xf numFmtId="0" fontId="9" fillId="0" borderId="0" xfId="0" applyFont="1"/>
    <xf numFmtId="0" fontId="9" fillId="0" borderId="0" xfId="0" applyFont="1" applyBorder="1" applyAlignment="1">
      <alignment horizontal="right"/>
    </xf>
    <xf numFmtId="172" fontId="9" fillId="0" borderId="0" xfId="0" applyNumberFormat="1" applyFont="1" applyBorder="1" applyAlignment="1">
      <alignment horizontal="center"/>
    </xf>
    <xf numFmtId="175" fontId="9" fillId="0" borderId="0" xfId="0" applyNumberFormat="1" applyFont="1" applyBorder="1" applyAlignment="1">
      <alignment horizontal="center"/>
    </xf>
    <xf numFmtId="176" fontId="9" fillId="0" borderId="0" xfId="0" applyNumberFormat="1" applyFont="1" applyBorder="1" applyAlignment="1">
      <alignment horizontal="center"/>
    </xf>
    <xf numFmtId="0" fontId="13" fillId="0" borderId="13" xfId="0" applyFont="1" applyBorder="1"/>
    <xf numFmtId="0" fontId="9" fillId="0" borderId="26" xfId="0" applyFont="1" applyBorder="1"/>
    <xf numFmtId="0" fontId="13" fillId="0" borderId="26" xfId="0" applyFont="1" applyBorder="1"/>
    <xf numFmtId="0" fontId="14" fillId="0" borderId="0" xfId="0" applyFont="1" applyBorder="1"/>
    <xf numFmtId="0" fontId="9" fillId="0" borderId="15" xfId="0" applyFont="1" applyBorder="1"/>
    <xf numFmtId="0" fontId="9" fillId="0" borderId="28" xfId="0" applyFont="1" applyBorder="1"/>
    <xf numFmtId="0" fontId="14" fillId="0" borderId="28" xfId="0" applyFont="1" applyBorder="1"/>
    <xf numFmtId="0" fontId="13" fillId="0" borderId="26" xfId="0" applyFont="1" applyBorder="1" applyAlignment="1">
      <alignment horizontal="right"/>
    </xf>
    <xf numFmtId="0" fontId="15" fillId="0" borderId="14" xfId="0" applyFont="1" applyBorder="1"/>
    <xf numFmtId="0" fontId="13" fillId="0" borderId="0" xfId="0" applyFont="1" applyBorder="1"/>
    <xf numFmtId="164" fontId="9" fillId="0" borderId="0" xfId="0" applyNumberFormat="1" applyFont="1" applyBorder="1"/>
    <xf numFmtId="0" fontId="13" fillId="0" borderId="26" xfId="0" applyFont="1" applyBorder="1" applyAlignment="1">
      <alignment horizontal="left"/>
    </xf>
    <xf numFmtId="0" fontId="15" fillId="0" borderId="0" xfId="0" applyFont="1" applyBorder="1"/>
    <xf numFmtId="0" fontId="15" fillId="0" borderId="0" xfId="0" applyFont="1" applyBorder="1" applyAlignment="1">
      <alignment horizontal="center"/>
    </xf>
    <xf numFmtId="0" fontId="0" fillId="4" borderId="0" xfId="0" applyFill="1" applyBorder="1"/>
  </cellXfs>
  <cellStyles count="1">
    <cellStyle name="Normal" xfId="0" builtinId="0"/>
  </cellStyles>
  <dxfs count="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FF000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352425</xdr:colOff>
      <xdr:row>0</xdr:row>
      <xdr:rowOff>161925</xdr:rowOff>
    </xdr:from>
    <xdr:to>
      <xdr:col>13</xdr:col>
      <xdr:colOff>19050</xdr:colOff>
      <xdr:row>23</xdr:row>
      <xdr:rowOff>28575</xdr:rowOff>
    </xdr:to>
    <xdr:sp macro="" textlink="">
      <xdr:nvSpPr>
        <xdr:cNvPr id="2" name="ZoneTexte 1">
          <a:extLst>
            <a:ext uri="{FF2B5EF4-FFF2-40B4-BE49-F238E27FC236}">
              <a16:creationId xmlns:a16="http://schemas.microsoft.com/office/drawing/2014/main" id="{75C71B34-AFB9-D9DC-142F-9E542DADA11C}"/>
            </a:ext>
          </a:extLst>
        </xdr:cNvPr>
        <xdr:cNvSpPr txBox="1"/>
      </xdr:nvSpPr>
      <xdr:spPr>
        <a:xfrm>
          <a:off x="352425" y="161925"/>
          <a:ext cx="9572625" cy="424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L'onglet paramètres</a:t>
          </a:r>
          <a:r>
            <a:rPr lang="fr-FR" sz="1100" b="1" baseline="0"/>
            <a:t> :</a:t>
          </a:r>
        </a:p>
        <a:p>
          <a:r>
            <a:rPr lang="fr-FR" sz="1100" baseline="0"/>
            <a:t>contient les données de durée, de temps, revêtement etc</a:t>
          </a:r>
        </a:p>
        <a:p>
          <a:r>
            <a:rPr lang="fr-FR" sz="1100" baseline="0"/>
            <a:t>des groupes de cellules ont été dénommés, afin de faciliter les reprises d'informations</a:t>
          </a:r>
        </a:p>
        <a:p>
          <a:r>
            <a:rPr lang="fr-FR" sz="1100" baseline="0"/>
            <a:t>D'une manière générale, il convient de ne pas toucher cette onglet, à moins d'être un expert EXCEL !</a:t>
          </a:r>
        </a:p>
        <a:p>
          <a:endParaRPr lang="fr-FR" sz="1100" baseline="0"/>
        </a:p>
        <a:p>
          <a:r>
            <a:rPr lang="fr-FR" sz="1100" b="1" baseline="0"/>
            <a:t>L'onglet Entité et Piscines</a:t>
          </a:r>
        </a:p>
        <a:p>
          <a:r>
            <a:rPr lang="fr-FR" sz="1100" baseline="0"/>
            <a:t>contient les informations des clubs, commissions et des piscines, afin de faciliter la reprise et l'instruction d'organisation.</a:t>
          </a:r>
        </a:p>
        <a:p>
          <a:r>
            <a:rPr lang="fr-FR" sz="1100" baseline="0"/>
            <a:t>Idéalement, merci de communiquer à la commission régionale TSC GRAND EST, les informations, afin de pouvoir disposer immédiatement de toutes les données et lancer le pilotage du déclaratif de l'événement et obtenir le rapport final.</a:t>
          </a:r>
        </a:p>
        <a:p>
          <a:endParaRPr lang="fr-FR" sz="1100" baseline="0"/>
        </a:p>
        <a:p>
          <a:r>
            <a:rPr lang="fr-FR" sz="1100" b="1" baseline="0"/>
            <a:t>L'onglet Déclaratif de l'événement.</a:t>
          </a:r>
        </a:p>
        <a:p>
          <a:r>
            <a:rPr lang="fr-FR" sz="1100" baseline="0"/>
            <a:t>Compte tenu des informations déjà renseigné, il suffit de sélectionner les informations et compléter les champs (exemple date, heure démarrage).</a:t>
          </a:r>
        </a:p>
        <a:p>
          <a:r>
            <a:rPr lang="fr-FR" sz="1100" baseline="0"/>
            <a:t>Il te faut donc comprendre que c'est cet onglet qui pilote le rapport final qui sera alors uniquement à ajuster en insérant les logos et supprimant les lignes des séries inutilisées !</a:t>
          </a:r>
        </a:p>
        <a:p>
          <a:endParaRPr lang="fr-FR" sz="1100" baseline="0"/>
        </a:p>
        <a:p>
          <a:r>
            <a:rPr lang="fr-FR" sz="1100" b="1" baseline="0"/>
            <a:t>L'onglet Rapport final :</a:t>
          </a:r>
        </a:p>
        <a:p>
          <a:r>
            <a:rPr lang="fr-FR" sz="1100" baseline="0"/>
            <a:t>Permet d'obtenir depuis le déclaratif de l'événement l'organisation sur la journée.</a:t>
          </a:r>
        </a:p>
        <a:p>
          <a:r>
            <a:rPr lang="fr-FR" sz="1100" baseline="0"/>
            <a:t>Libre alors de reprendre les informations dans un doc WORD ou d'imprimer après avoir supprimé les séries non voulue, dès lors que les inscriptions ont été clôturés et donc que le nombre de compétiteurs est arrêté !</a:t>
          </a:r>
        </a:p>
        <a:p>
          <a:endParaRPr lang="fr-FR" sz="1100" baseline="0"/>
        </a:p>
        <a:p>
          <a:r>
            <a:rPr lang="fr-FR" sz="1100" baseline="0"/>
            <a:t>Il convient en fonction du nombre d'inscrits, et donc du nombre de sérié de supprimer les lignes de série non utilisé. Ne pas sélectionné d'autres lignes en dehors de celles traitant des séries inutilsées.</a:t>
          </a:r>
        </a:p>
        <a:p>
          <a:endParaRPr lang="fr-FR" sz="1100" baseline="0"/>
        </a:p>
        <a:p>
          <a:r>
            <a:rPr lang="fr-FR" sz="1100" baseline="0"/>
            <a:t>Pense à sauvegarder ton fichier de traitement de compétition, régulièrement (" CTRL "+" S "), après l'avoir nommé avec le nom de l'événement+date ! :)</a:t>
          </a:r>
        </a:p>
        <a:p>
          <a:endParaRPr lang="fr-FR"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485775</xdr:colOff>
      <xdr:row>90</xdr:row>
      <xdr:rowOff>47626</xdr:rowOff>
    </xdr:from>
    <xdr:to>
      <xdr:col>13</xdr:col>
      <xdr:colOff>704851</xdr:colOff>
      <xdr:row>103</xdr:row>
      <xdr:rowOff>161926</xdr:rowOff>
    </xdr:to>
    <xdr:sp macro="" textlink="">
      <xdr:nvSpPr>
        <xdr:cNvPr id="2" name="ZoneTexte 1">
          <a:extLst>
            <a:ext uri="{FF2B5EF4-FFF2-40B4-BE49-F238E27FC236}">
              <a16:creationId xmlns:a16="http://schemas.microsoft.com/office/drawing/2014/main" id="{E8ACC9E7-CEFF-6F21-203A-4F29BBC6966C}"/>
            </a:ext>
          </a:extLst>
        </xdr:cNvPr>
        <xdr:cNvSpPr txBox="1"/>
      </xdr:nvSpPr>
      <xdr:spPr>
        <a:xfrm>
          <a:off x="9182100" y="17373601"/>
          <a:ext cx="4124326" cy="259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t>Les compétiteurs</a:t>
          </a:r>
          <a:r>
            <a:rPr lang="fr-FR" sz="1100" b="1" u="sng" baseline="0"/>
            <a:t> doivent à l'accueil présenter :</a:t>
          </a:r>
        </a:p>
        <a:p>
          <a:endParaRPr lang="fr-FR" sz="1100" baseline="0"/>
        </a:p>
        <a:p>
          <a:r>
            <a:rPr lang="fr-FR" sz="1100" baseline="0"/>
            <a:t>Leur</a:t>
          </a:r>
          <a:r>
            <a:rPr lang="fr-FR" sz="1100" baseline="0">
              <a:solidFill>
                <a:srgbClr val="FF0000"/>
              </a:solidFill>
            </a:rPr>
            <a:t> licence FFESSM </a:t>
          </a:r>
          <a:r>
            <a:rPr lang="fr-FR" sz="1100" baseline="0"/>
            <a:t>et leur carte de </a:t>
          </a:r>
          <a:r>
            <a:rPr lang="fr-FR" sz="1100" baseline="0">
              <a:solidFill>
                <a:srgbClr val="FF0000"/>
              </a:solidFill>
            </a:rPr>
            <a:t>niveau T1 </a:t>
          </a:r>
          <a:r>
            <a:rPr lang="fr-FR" sz="1100" baseline="0"/>
            <a:t>à minima.</a:t>
          </a:r>
        </a:p>
        <a:p>
          <a:r>
            <a:rPr lang="fr-FR" sz="1100" baseline="0">
              <a:solidFill>
                <a:srgbClr val="FF0000"/>
              </a:solidFill>
            </a:rPr>
            <a:t>Ces deux cartes peuvent être scanné sur un feuille, par exemple !</a:t>
          </a:r>
        </a:p>
        <a:p>
          <a:endParaRPr lang="fr-FR" sz="1100"/>
        </a:p>
        <a:p>
          <a:r>
            <a:rPr lang="fr-FR" sz="1100"/>
            <a:t>Leur </a:t>
          </a:r>
          <a:r>
            <a:rPr lang="fr-FR" sz="1100">
              <a:solidFill>
                <a:srgbClr val="FF0000"/>
              </a:solidFill>
            </a:rPr>
            <a:t>Certificat d'Absence</a:t>
          </a:r>
          <a:r>
            <a:rPr lang="fr-FR" sz="1100" baseline="0">
              <a:solidFill>
                <a:srgbClr val="FF0000"/>
              </a:solidFill>
            </a:rPr>
            <a:t> de Contre Indication</a:t>
          </a:r>
          <a:r>
            <a:rPr lang="fr-FR" sz="1100" baseline="0"/>
            <a:t>, présentant la mention que le compétiteur est autorisé à pratiquer la compétition en TSC</a:t>
          </a:r>
        </a:p>
        <a:p>
          <a:endParaRPr lang="fr-FR" sz="1100" baseline="0"/>
        </a:p>
        <a:p>
          <a:r>
            <a:rPr lang="fr-FR" sz="1100" baseline="0">
              <a:solidFill>
                <a:srgbClr val="FF0000"/>
              </a:solidFill>
            </a:rPr>
            <a:t>L'attestation d'assurance </a:t>
          </a:r>
          <a:r>
            <a:rPr lang="fr-FR" sz="1100" baseline="0"/>
            <a:t>; dans le cas ou celle-ci est souscrite auprès de la FFESSM, elle sera visualisable avec le QR Code de la licence.</a:t>
          </a:r>
        </a:p>
        <a:p>
          <a:r>
            <a:rPr lang="fr-FR" sz="1100" baseline="0">
              <a:solidFill>
                <a:srgbClr val="FF0000"/>
              </a:solidFill>
            </a:rPr>
            <a:t>Pour les mineurs : </a:t>
          </a:r>
          <a:r>
            <a:rPr lang="fr-FR" sz="1100" u="sng" baseline="0"/>
            <a:t>l'autorisation de prise de vue </a:t>
          </a:r>
          <a:r>
            <a:rPr lang="fr-FR" sz="1100" baseline="0"/>
            <a:t>et </a:t>
          </a:r>
          <a:r>
            <a:rPr lang="fr-FR" sz="1100" u="sng" baseline="0"/>
            <a:t>l'autorisation de participer à la dite compétition du jour</a:t>
          </a:r>
          <a:r>
            <a:rPr lang="fr-FR" sz="1100" baseline="0"/>
            <a:t>. </a:t>
          </a:r>
        </a:p>
        <a:p>
          <a:endParaRPr lang="fr-FR" sz="1100" baseline="0"/>
        </a:p>
        <a:p>
          <a:r>
            <a:rPr lang="fr-FR" sz="1100" baseline="0"/>
            <a:t>Sans </a:t>
          </a:r>
          <a:r>
            <a:rPr lang="fr-FR" sz="1100" baseline="0">
              <a:solidFill>
                <a:srgbClr val="FF0000"/>
              </a:solidFill>
            </a:rPr>
            <a:t>oublier le réglement</a:t>
          </a:r>
          <a:r>
            <a:rPr lang="fr-FR" sz="1100" baseline="0"/>
            <a:t>, au comptant !</a:t>
          </a:r>
          <a:endParaRPr lang="fr-FR" sz="1100"/>
        </a:p>
        <a:p>
          <a:endParaRPr lang="fr-FR"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4D907-3AF4-4265-933C-236B6A337E64}">
  <sheetPr>
    <tabColor theme="1" tint="0.499984740745262"/>
  </sheetPr>
  <dimension ref="A1"/>
  <sheetViews>
    <sheetView tabSelected="1" workbookViewId="0">
      <selection activeCell="P12" sqref="P12"/>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AC6F-DC4D-42A7-8EFA-8C737BFA83C5}">
  <sheetPr>
    <tabColor rgb="FF92D050"/>
  </sheetPr>
  <dimension ref="A1:N116"/>
  <sheetViews>
    <sheetView topLeftCell="A64" zoomScaleNormal="100" workbookViewId="0">
      <selection activeCell="O73" sqref="O73"/>
    </sheetView>
  </sheetViews>
  <sheetFormatPr baseColWidth="10" defaultRowHeight="15" x14ac:dyDescent="0.25"/>
  <cols>
    <col min="1" max="3" width="15.7109375" customWidth="1"/>
    <col min="4" max="4" width="13.28515625" customWidth="1"/>
    <col min="6" max="8" width="15.7109375" customWidth="1"/>
    <col min="11" max="13" width="15.7109375" customWidth="1"/>
  </cols>
  <sheetData>
    <row r="1" spans="1:14" ht="31.5" customHeight="1" x14ac:dyDescent="0.25">
      <c r="A1" s="21"/>
      <c r="B1" s="21"/>
      <c r="C1" s="21"/>
      <c r="D1" s="21"/>
      <c r="E1" s="21"/>
      <c r="F1" s="21"/>
      <c r="G1" s="21"/>
      <c r="H1" s="21"/>
      <c r="I1" s="21" t="s">
        <v>0</v>
      </c>
      <c r="J1" s="21"/>
      <c r="K1" s="21"/>
      <c r="L1" s="21"/>
      <c r="M1" s="21"/>
      <c r="N1" s="21"/>
    </row>
    <row r="2" spans="1:14" ht="31.5" customHeight="1" x14ac:dyDescent="0.25">
      <c r="A2" s="21"/>
      <c r="B2" s="21"/>
      <c r="C2" s="21"/>
      <c r="D2" s="21"/>
      <c r="E2" s="21"/>
      <c r="F2" s="21"/>
      <c r="G2" s="21"/>
      <c r="H2" s="21"/>
      <c r="I2" s="21"/>
      <c r="J2" s="21"/>
      <c r="K2" s="21"/>
      <c r="L2" s="21"/>
      <c r="M2" s="21"/>
      <c r="N2" s="21"/>
    </row>
    <row r="3" spans="1:14" ht="31.5" customHeight="1" x14ac:dyDescent="0.25">
      <c r="A3" s="21"/>
      <c r="B3" s="21"/>
      <c r="C3" s="21"/>
      <c r="D3" s="21"/>
      <c r="E3" s="21"/>
      <c r="F3" s="21"/>
      <c r="G3" s="21"/>
      <c r="H3" s="21"/>
      <c r="I3" s="21"/>
      <c r="J3" s="21"/>
      <c r="K3" s="21"/>
      <c r="L3" s="21"/>
      <c r="M3" s="21"/>
      <c r="N3" s="21"/>
    </row>
    <row r="4" spans="1:14" ht="31.5" customHeight="1" x14ac:dyDescent="0.25">
      <c r="A4" s="21"/>
      <c r="B4" s="21"/>
      <c r="C4" s="21"/>
      <c r="D4" s="21"/>
      <c r="E4" s="21"/>
      <c r="F4" s="21"/>
      <c r="G4" s="21"/>
      <c r="H4" s="21"/>
      <c r="I4" s="21"/>
      <c r="J4" s="21"/>
      <c r="K4" s="21"/>
      <c r="L4" s="21"/>
      <c r="M4" s="21"/>
      <c r="N4" s="21"/>
    </row>
    <row r="5" spans="1:14" ht="31.5" customHeight="1" x14ac:dyDescent="0.25">
      <c r="A5" s="21"/>
      <c r="B5" s="21"/>
      <c r="C5" s="21"/>
      <c r="D5" s="21"/>
      <c r="E5" s="21"/>
      <c r="F5" s="21"/>
      <c r="G5" s="21"/>
      <c r="H5" s="21"/>
      <c r="I5" s="21"/>
      <c r="J5" s="21"/>
      <c r="K5" s="21"/>
      <c r="L5" s="21"/>
      <c r="M5" s="21"/>
      <c r="N5" s="21"/>
    </row>
    <row r="6" spans="1:14" ht="31.5" customHeight="1" thickBot="1" x14ac:dyDescent="0.3">
      <c r="A6" s="79"/>
      <c r="B6" s="79"/>
      <c r="C6" s="79"/>
      <c r="D6" s="79"/>
      <c r="E6" s="79"/>
      <c r="F6" s="79"/>
      <c r="G6" s="79"/>
      <c r="H6" s="79"/>
      <c r="I6" s="21"/>
      <c r="J6" s="21"/>
      <c r="K6" s="21"/>
      <c r="L6" s="21"/>
      <c r="M6" s="21"/>
      <c r="N6" s="21"/>
    </row>
    <row r="7" spans="1:14" ht="15" customHeight="1" x14ac:dyDescent="0.25">
      <c r="A7" s="110" t="str">
        <f>'Déclaratif de l''événement'!D5</f>
        <v xml:space="preserve">2 EME CHALLENGE DE DIEUZE </v>
      </c>
      <c r="B7" s="111"/>
      <c r="C7" s="111"/>
      <c r="D7" s="111"/>
      <c r="E7" s="111"/>
      <c r="F7" s="111"/>
      <c r="G7" s="111"/>
      <c r="H7" s="111"/>
      <c r="I7" s="111"/>
      <c r="J7" s="111"/>
      <c r="K7" s="111"/>
      <c r="L7" s="111"/>
      <c r="M7" s="111"/>
      <c r="N7" s="111"/>
    </row>
    <row r="8" spans="1:14" ht="15" customHeight="1" x14ac:dyDescent="0.25">
      <c r="A8" s="110"/>
      <c r="B8" s="111"/>
      <c r="C8" s="111"/>
      <c r="D8" s="111"/>
      <c r="E8" s="111"/>
      <c r="F8" s="111"/>
      <c r="G8" s="111"/>
      <c r="H8" s="111"/>
      <c r="I8" s="111"/>
      <c r="J8" s="111"/>
      <c r="K8" s="111"/>
      <c r="L8" s="111"/>
      <c r="M8" s="111"/>
      <c r="N8" s="111"/>
    </row>
    <row r="9" spans="1:14" ht="15" customHeight="1" x14ac:dyDescent="0.25">
      <c r="A9" s="110"/>
      <c r="B9" s="111"/>
      <c r="C9" s="111"/>
      <c r="D9" s="111"/>
      <c r="E9" s="111"/>
      <c r="F9" s="111"/>
      <c r="G9" s="111"/>
      <c r="H9" s="111"/>
      <c r="I9" s="111"/>
      <c r="J9" s="111"/>
      <c r="K9" s="111"/>
      <c r="L9" s="111"/>
      <c r="M9" s="111"/>
      <c r="N9" s="111"/>
    </row>
    <row r="10" spans="1:14" ht="15" customHeight="1" x14ac:dyDescent="0.25">
      <c r="A10" s="110"/>
      <c r="B10" s="111"/>
      <c r="C10" s="111"/>
      <c r="D10" s="111"/>
      <c r="E10" s="111"/>
      <c r="F10" s="111"/>
      <c r="G10" s="111"/>
      <c r="H10" s="111"/>
      <c r="I10" s="111"/>
      <c r="J10" s="111"/>
      <c r="K10" s="111"/>
      <c r="L10" s="111"/>
      <c r="M10" s="111"/>
      <c r="N10" s="111"/>
    </row>
    <row r="11" spans="1:14" ht="15.75" customHeight="1" x14ac:dyDescent="0.25">
      <c r="A11" s="110"/>
      <c r="B11" s="111"/>
      <c r="C11" s="111"/>
      <c r="D11" s="111"/>
      <c r="E11" s="111"/>
      <c r="F11" s="111"/>
      <c r="G11" s="111"/>
      <c r="H11" s="111"/>
      <c r="I11" s="111"/>
      <c r="J11" s="111"/>
      <c r="K11" s="111"/>
      <c r="L11" s="111"/>
      <c r="M11" s="111"/>
      <c r="N11" s="111"/>
    </row>
    <row r="12" spans="1:14" ht="15" customHeight="1" x14ac:dyDescent="0.25">
      <c r="A12" s="112">
        <f>'Déclaratif de l''événement'!D6</f>
        <v>44961</v>
      </c>
      <c r="B12" s="113"/>
      <c r="C12" s="113"/>
      <c r="D12" s="113"/>
      <c r="E12" s="113"/>
      <c r="F12" s="113"/>
      <c r="G12" s="113"/>
      <c r="H12" s="113"/>
      <c r="I12" s="113"/>
      <c r="J12" s="113"/>
      <c r="K12" s="114" t="str">
        <f>'Déclaratif de l''événement'!D10</f>
        <v>Piscine intercommunale de Dieuze</v>
      </c>
      <c r="L12" s="114"/>
      <c r="M12" s="114"/>
      <c r="N12" s="115"/>
    </row>
    <row r="13" spans="1:14" ht="15" customHeight="1" x14ac:dyDescent="0.25">
      <c r="A13" s="112"/>
      <c r="B13" s="113"/>
      <c r="C13" s="113"/>
      <c r="D13" s="113"/>
      <c r="E13" s="113"/>
      <c r="F13" s="113"/>
      <c r="G13" s="113"/>
      <c r="H13" s="113"/>
      <c r="I13" s="113"/>
      <c r="J13" s="113"/>
      <c r="K13" s="114"/>
      <c r="L13" s="114"/>
      <c r="M13" s="114"/>
      <c r="N13" s="115"/>
    </row>
    <row r="14" spans="1:14" x14ac:dyDescent="0.25">
      <c r="A14" s="112"/>
      <c r="B14" s="113"/>
      <c r="C14" s="113"/>
      <c r="D14" s="113"/>
      <c r="E14" s="113"/>
      <c r="F14" s="113"/>
      <c r="G14" s="113"/>
      <c r="H14" s="113"/>
      <c r="I14" s="113"/>
      <c r="J14" s="113"/>
      <c r="K14" s="77" t="str">
        <f>'Déclaratif de l''événement'!D11</f>
        <v>22 rue du moulin, 57260 - VAL DE BRIDE</v>
      </c>
      <c r="L14" s="77"/>
      <c r="M14" s="77"/>
      <c r="N14" s="78"/>
    </row>
    <row r="15" spans="1:14" ht="15.75" thickBot="1" x14ac:dyDescent="0.3">
      <c r="F15" s="20"/>
      <c r="G15" s="20"/>
      <c r="H15" s="20"/>
    </row>
    <row r="16" spans="1:14" x14ac:dyDescent="0.25">
      <c r="A16" s="23"/>
      <c r="B16" s="72"/>
      <c r="C16" s="72"/>
      <c r="D16" s="72"/>
      <c r="E16" s="72"/>
      <c r="F16" s="82"/>
      <c r="G16" s="82"/>
      <c r="H16" s="82"/>
      <c r="I16" s="82"/>
      <c r="J16" s="82"/>
      <c r="K16" s="82"/>
      <c r="L16" s="82"/>
      <c r="M16" s="82"/>
      <c r="N16" s="83"/>
    </row>
    <row r="17" spans="1:14" ht="18.75" x14ac:dyDescent="0.3">
      <c r="A17" s="116" t="s">
        <v>150</v>
      </c>
      <c r="B17" s="117"/>
      <c r="C17" s="117"/>
      <c r="D17" s="117"/>
      <c r="E17" s="117"/>
      <c r="F17" s="117"/>
      <c r="G17" s="117"/>
      <c r="H17" s="74"/>
      <c r="I17" s="74"/>
      <c r="J17" s="74"/>
      <c r="K17" s="74"/>
      <c r="L17" s="74"/>
      <c r="M17" s="74"/>
      <c r="N17" s="75"/>
    </row>
    <row r="18" spans="1:14" ht="18.75" x14ac:dyDescent="0.3">
      <c r="A18" s="118"/>
      <c r="B18" s="117"/>
      <c r="C18" s="117"/>
      <c r="D18" s="117"/>
      <c r="E18" s="117"/>
      <c r="F18" s="117"/>
      <c r="G18" s="117"/>
      <c r="H18" s="74"/>
      <c r="I18" s="74"/>
      <c r="J18" s="74"/>
      <c r="K18" s="74"/>
      <c r="L18" s="74"/>
      <c r="M18" s="74"/>
      <c r="N18" s="75"/>
    </row>
    <row r="19" spans="1:14" ht="18.75" x14ac:dyDescent="0.3">
      <c r="A19" s="118"/>
      <c r="B19" s="119"/>
      <c r="C19" s="120" t="s">
        <v>163</v>
      </c>
      <c r="D19" s="85">
        <f>'Déclaratif de l''événement'!D13</f>
        <v>5</v>
      </c>
      <c r="E19" s="85"/>
      <c r="F19" s="85"/>
      <c r="G19" s="117"/>
      <c r="H19" s="74"/>
      <c r="I19" s="74"/>
      <c r="J19" s="74"/>
      <c r="K19" s="74"/>
      <c r="L19" s="74"/>
      <c r="M19" s="74"/>
      <c r="N19" s="75"/>
    </row>
    <row r="20" spans="1:14" ht="18.75" x14ac:dyDescent="0.3">
      <c r="A20" s="118"/>
      <c r="B20" s="119"/>
      <c r="C20" s="120" t="s">
        <v>164</v>
      </c>
      <c r="D20" s="121">
        <f>'Déclaratif de l''événement'!D12</f>
        <v>25</v>
      </c>
      <c r="E20" s="121"/>
      <c r="F20" s="121"/>
      <c r="G20" s="117"/>
      <c r="H20" s="74"/>
      <c r="I20" s="74"/>
      <c r="J20" s="74"/>
      <c r="K20" s="74"/>
      <c r="L20" s="74"/>
      <c r="M20" s="74"/>
      <c r="N20" s="75"/>
    </row>
    <row r="21" spans="1:14" ht="18.75" x14ac:dyDescent="0.3">
      <c r="A21" s="118"/>
      <c r="B21" s="119"/>
      <c r="C21" s="120" t="s">
        <v>165</v>
      </c>
      <c r="D21" s="122">
        <f>'Déclaratif de l''événement'!D15</f>
        <v>3</v>
      </c>
      <c r="E21" s="122"/>
      <c r="F21" s="122"/>
      <c r="G21" s="117"/>
      <c r="H21" s="74"/>
      <c r="I21" s="74"/>
      <c r="J21" s="74"/>
      <c r="K21" s="74"/>
      <c r="L21" s="74"/>
      <c r="M21" s="74"/>
      <c r="N21" s="75"/>
    </row>
    <row r="22" spans="1:14" ht="18.75" x14ac:dyDescent="0.3">
      <c r="A22" s="118"/>
      <c r="B22" s="119"/>
      <c r="C22" s="120" t="s">
        <v>166</v>
      </c>
      <c r="D22" s="85" t="str">
        <f>'Déclaratif de l''événement'!D16</f>
        <v>Gueuses et ventouses</v>
      </c>
      <c r="E22" s="85"/>
      <c r="F22" s="85"/>
      <c r="G22" s="117"/>
      <c r="H22" s="74"/>
      <c r="I22" s="74"/>
      <c r="J22" s="74"/>
      <c r="K22" s="74"/>
      <c r="L22" s="74"/>
      <c r="M22" s="74"/>
      <c r="N22" s="75"/>
    </row>
    <row r="23" spans="1:14" ht="18.75" x14ac:dyDescent="0.3">
      <c r="A23" s="118"/>
      <c r="B23" s="119"/>
      <c r="C23" s="120" t="s">
        <v>167</v>
      </c>
      <c r="D23" s="85" t="str">
        <f>'Déclaratif de l''événement'!D17</f>
        <v>Bonnet facultatif</v>
      </c>
      <c r="E23" s="85"/>
      <c r="F23" s="85"/>
      <c r="G23" s="117"/>
      <c r="H23" s="74"/>
      <c r="I23" s="74"/>
      <c r="J23" s="74"/>
      <c r="K23" s="74"/>
      <c r="L23" s="74"/>
      <c r="M23" s="74"/>
      <c r="N23" s="75"/>
    </row>
    <row r="24" spans="1:14" ht="18.75" x14ac:dyDescent="0.3">
      <c r="A24" s="118"/>
      <c r="B24" s="119"/>
      <c r="C24" s="120" t="s">
        <v>168</v>
      </c>
      <c r="D24" s="123">
        <f>'Déclaratif de l''événement'!D18</f>
        <v>26</v>
      </c>
      <c r="E24" s="123"/>
      <c r="F24" s="123"/>
      <c r="G24" s="117"/>
      <c r="H24" s="74"/>
      <c r="I24" s="74"/>
      <c r="J24" s="74"/>
      <c r="K24" s="74"/>
      <c r="L24" s="74"/>
      <c r="M24" s="74"/>
      <c r="N24" s="75"/>
    </row>
    <row r="25" spans="1:14" ht="18.75" x14ac:dyDescent="0.3">
      <c r="A25" s="118"/>
      <c r="B25" s="119"/>
      <c r="C25" s="120" t="s">
        <v>6</v>
      </c>
      <c r="D25" s="85" t="str">
        <f>'Déclaratif de l''événement'!D19</f>
        <v>INOX Plat</v>
      </c>
      <c r="E25" s="85"/>
      <c r="F25" s="85"/>
      <c r="G25" s="117"/>
      <c r="H25" s="74"/>
      <c r="I25" s="74"/>
      <c r="J25" s="74"/>
      <c r="K25" s="74"/>
      <c r="L25" s="74"/>
      <c r="M25" s="74"/>
      <c r="N25" s="75"/>
    </row>
    <row r="26" spans="1:14" ht="15.75" thickBot="1" x14ac:dyDescent="0.3">
      <c r="A26" s="25"/>
      <c r="B26" s="76"/>
      <c r="C26" s="76"/>
      <c r="D26" s="76"/>
      <c r="E26" s="76"/>
      <c r="F26" s="76"/>
      <c r="G26" s="76"/>
      <c r="H26" s="76"/>
      <c r="I26" s="76"/>
      <c r="J26" s="76"/>
      <c r="K26" s="76"/>
      <c r="L26" s="76"/>
      <c r="M26" s="76"/>
      <c r="N26" s="26"/>
    </row>
    <row r="27" spans="1:14" ht="15.75" thickBot="1" x14ac:dyDescent="0.3"/>
    <row r="28" spans="1:14" ht="18.75" x14ac:dyDescent="0.3">
      <c r="A28" s="124" t="s">
        <v>162</v>
      </c>
      <c r="B28" s="125"/>
      <c r="C28" s="125"/>
      <c r="D28" s="125"/>
      <c r="E28" s="126" t="s">
        <v>20</v>
      </c>
      <c r="F28" s="125"/>
      <c r="G28" s="125"/>
      <c r="H28" s="125"/>
      <c r="I28" s="72"/>
      <c r="J28" s="72"/>
      <c r="K28" s="72"/>
      <c r="L28" s="72"/>
      <c r="M28" s="72"/>
      <c r="N28" s="24"/>
    </row>
    <row r="29" spans="1:14" ht="18.75" x14ac:dyDescent="0.3">
      <c r="A29" s="118"/>
      <c r="B29" s="117"/>
      <c r="C29" s="117"/>
      <c r="D29" s="117"/>
      <c r="E29" s="117"/>
      <c r="F29" s="117"/>
      <c r="G29" s="117"/>
      <c r="H29" s="117"/>
      <c r="I29" s="74"/>
      <c r="J29" s="74"/>
      <c r="K29" s="74"/>
      <c r="L29" s="74"/>
      <c r="M29" s="74"/>
      <c r="N29" s="75"/>
    </row>
    <row r="30" spans="1:14" ht="18.75" x14ac:dyDescent="0.3">
      <c r="A30" s="118"/>
      <c r="B30" s="120" t="s">
        <v>16</v>
      </c>
      <c r="C30" s="127" t="str">
        <f>VLOOKUP('Déclaratif de l''événement'!D28,Paramètres!$K$2:$L$3,2,FALSE)</f>
        <v>þ</v>
      </c>
      <c r="D30" s="117"/>
      <c r="E30" s="119"/>
      <c r="F30" s="119"/>
      <c r="G30" s="117" t="s">
        <v>21</v>
      </c>
      <c r="H30" s="127" t="str">
        <f>VLOOKUP('Déclaratif de l''événement'!D22,CHOIX,2,FALSE)</f>
        <v>ý</v>
      </c>
      <c r="I30" s="74"/>
      <c r="J30" s="74"/>
      <c r="K30" s="74"/>
      <c r="L30" s="74"/>
      <c r="M30" s="74"/>
      <c r="N30" s="75"/>
    </row>
    <row r="31" spans="1:14" ht="18.75" x14ac:dyDescent="0.3">
      <c r="A31" s="118"/>
      <c r="B31" s="120" t="s">
        <v>17</v>
      </c>
      <c r="C31" s="127" t="str">
        <f>VLOOKUP('Déclaratif de l''événement'!D29,Paramètres!$K$2:$L$3,2,FALSE)</f>
        <v>þ</v>
      </c>
      <c r="D31" s="117"/>
      <c r="E31" s="119"/>
      <c r="F31" s="119"/>
      <c r="G31" s="117" t="s">
        <v>22</v>
      </c>
      <c r="H31" s="127" t="str">
        <f>VLOOKUP('Déclaratif de l''événement'!D23,CHOIX,2,FALSE)</f>
        <v>þ</v>
      </c>
      <c r="I31" s="74"/>
      <c r="J31" s="74"/>
      <c r="K31" s="74"/>
      <c r="L31" s="74"/>
      <c r="M31" s="74"/>
      <c r="N31" s="75"/>
    </row>
    <row r="32" spans="1:14" ht="18.75" x14ac:dyDescent="0.3">
      <c r="A32" s="118"/>
      <c r="B32" s="120" t="s">
        <v>18</v>
      </c>
      <c r="C32" s="127" t="str">
        <f>VLOOKUP('Déclaratif de l''événement'!D30,Paramètres!$K$2:$L$3,2,FALSE)</f>
        <v>þ</v>
      </c>
      <c r="D32" s="117"/>
      <c r="E32" s="119"/>
      <c r="F32" s="119"/>
      <c r="G32" s="117" t="s">
        <v>23</v>
      </c>
      <c r="H32" s="127" t="str">
        <f>VLOOKUP('Déclaratif de l''événement'!D24,CHOIX,2,FALSE)</f>
        <v>þ</v>
      </c>
      <c r="I32" s="74"/>
      <c r="J32" s="74"/>
      <c r="K32" s="74"/>
      <c r="L32" s="74"/>
      <c r="M32" s="74"/>
      <c r="N32" s="75"/>
    </row>
    <row r="33" spans="1:14" ht="18.75" x14ac:dyDescent="0.3">
      <c r="A33" s="118"/>
      <c r="B33" s="120"/>
      <c r="C33" s="127"/>
      <c r="D33" s="117"/>
      <c r="E33" s="119"/>
      <c r="F33" s="119"/>
      <c r="G33" s="117" t="s">
        <v>24</v>
      </c>
      <c r="H33" s="127" t="str">
        <f>VLOOKUP('Déclaratif de l''événement'!D25,CHOIX,2,FALSE)</f>
        <v>þ</v>
      </c>
      <c r="I33" s="74"/>
      <c r="J33" s="74"/>
      <c r="K33" s="74"/>
      <c r="L33" s="74"/>
      <c r="M33" s="74"/>
      <c r="N33" s="75"/>
    </row>
    <row r="34" spans="1:14" ht="18.75" x14ac:dyDescent="0.3">
      <c r="A34" s="118"/>
      <c r="B34" s="120" t="s">
        <v>19</v>
      </c>
      <c r="C34" s="127" t="str">
        <f>VLOOKUP('Déclaratif de l''événement'!D32,Paramètres!$K$2:$L$3,2,FALSE)</f>
        <v>þ</v>
      </c>
      <c r="D34" s="117"/>
      <c r="E34" s="119"/>
      <c r="F34" s="119"/>
      <c r="G34" s="117" t="s">
        <v>25</v>
      </c>
      <c r="H34" s="127" t="str">
        <f>VLOOKUP('Déclaratif de l''événement'!D26,CHOIX,2,FALSE)</f>
        <v>þ</v>
      </c>
      <c r="I34" s="74"/>
      <c r="J34" s="74"/>
      <c r="K34" s="74"/>
      <c r="L34" s="74"/>
      <c r="M34" s="74"/>
      <c r="N34" s="75"/>
    </row>
    <row r="35" spans="1:14" ht="18.75" x14ac:dyDescent="0.3">
      <c r="A35" s="118"/>
      <c r="B35" s="117"/>
      <c r="C35" s="117"/>
      <c r="D35" s="117"/>
      <c r="E35" s="119"/>
      <c r="F35" s="119"/>
      <c r="G35" s="117" t="s">
        <v>26</v>
      </c>
      <c r="H35" s="127" t="str">
        <f>VLOOKUP('Déclaratif de l''événement'!D27,CHOIX,2,FALSE)</f>
        <v>þ</v>
      </c>
      <c r="I35" s="74"/>
      <c r="J35" s="74"/>
      <c r="K35" s="74"/>
      <c r="L35" s="74"/>
      <c r="M35" s="74"/>
      <c r="N35" s="75"/>
    </row>
    <row r="36" spans="1:14" ht="19.5" thickBot="1" x14ac:dyDescent="0.35">
      <c r="A36" s="128"/>
      <c r="B36" s="129"/>
      <c r="C36" s="129"/>
      <c r="D36" s="129"/>
      <c r="E36" s="129"/>
      <c r="F36" s="130"/>
      <c r="G36" s="129"/>
      <c r="H36" s="129"/>
      <c r="I36" s="76"/>
      <c r="J36" s="76"/>
      <c r="K36" s="76"/>
      <c r="L36" s="76"/>
      <c r="M36" s="76"/>
      <c r="N36" s="26"/>
    </row>
    <row r="37" spans="1:14" ht="15.75" thickBot="1" x14ac:dyDescent="0.3"/>
    <row r="38" spans="1:14" ht="18.75" x14ac:dyDescent="0.3">
      <c r="A38" s="124" t="s">
        <v>27</v>
      </c>
      <c r="B38" s="125"/>
      <c r="C38" s="72"/>
      <c r="D38" s="125"/>
      <c r="E38" s="131" t="s">
        <v>32</v>
      </c>
      <c r="F38" s="72"/>
      <c r="G38" s="125"/>
      <c r="H38" s="135" t="s">
        <v>169</v>
      </c>
      <c r="I38" s="72"/>
      <c r="J38" s="72"/>
      <c r="K38" s="72"/>
      <c r="L38" s="135" t="s">
        <v>170</v>
      </c>
      <c r="M38" s="72"/>
      <c r="N38" s="24"/>
    </row>
    <row r="39" spans="1:14" ht="18.75" x14ac:dyDescent="0.3">
      <c r="A39" s="118"/>
      <c r="B39" s="136">
        <f>'Déclaratif de l''événement'!D8</f>
        <v>30</v>
      </c>
      <c r="C39" s="117"/>
      <c r="D39" s="117"/>
      <c r="E39" s="137">
        <f>ROUNDUP(B39/D19,0)</f>
        <v>6</v>
      </c>
      <c r="F39" s="117"/>
      <c r="G39" s="117"/>
      <c r="H39" s="117"/>
      <c r="I39" s="138"/>
      <c r="J39" s="74"/>
      <c r="K39" s="74"/>
      <c r="L39" s="138"/>
      <c r="M39" s="74"/>
      <c r="N39" s="75"/>
    </row>
    <row r="40" spans="1:14" ht="18.75" x14ac:dyDescent="0.3">
      <c r="A40" s="132" t="s">
        <v>53</v>
      </c>
      <c r="B40" s="133"/>
      <c r="C40" s="117" t="str">
        <f>'Déclaratif de l''événement'!D34</f>
        <v>Oui</v>
      </c>
      <c r="D40" s="133" t="s">
        <v>160</v>
      </c>
      <c r="E40" s="134">
        <f>'Déclaratif de l''événement'!D35</f>
        <v>4.1666666666666602E-2</v>
      </c>
      <c r="F40" s="117"/>
      <c r="G40" s="117"/>
      <c r="H40" s="117"/>
      <c r="I40" s="74"/>
      <c r="J40" s="74"/>
      <c r="K40" s="74"/>
      <c r="L40" s="74"/>
      <c r="M40" s="74"/>
      <c r="N40" s="75"/>
    </row>
    <row r="41" spans="1:14" ht="19.5" thickBot="1" x14ac:dyDescent="0.35">
      <c r="A41" s="128"/>
      <c r="B41" s="129"/>
      <c r="C41" s="129"/>
      <c r="D41" s="129"/>
      <c r="E41" s="129"/>
      <c r="F41" s="129"/>
      <c r="G41" s="129"/>
      <c r="H41" s="129"/>
      <c r="I41" s="76"/>
      <c r="J41" s="76"/>
      <c r="K41" s="76"/>
      <c r="L41" s="76"/>
      <c r="M41" s="76"/>
      <c r="N41" s="26"/>
    </row>
    <row r="42" spans="1:14" ht="15.75" thickBot="1" x14ac:dyDescent="0.3"/>
    <row r="43" spans="1:14" x14ac:dyDescent="0.25">
      <c r="A43" s="23"/>
      <c r="B43" s="72"/>
      <c r="C43" s="72"/>
      <c r="D43" s="72"/>
      <c r="E43" s="72"/>
      <c r="F43" s="72"/>
      <c r="G43" s="72"/>
      <c r="H43" s="72"/>
      <c r="I43" s="72"/>
      <c r="J43" s="72"/>
      <c r="K43" s="72"/>
      <c r="L43" s="72"/>
      <c r="M43" s="72"/>
      <c r="N43" s="24"/>
    </row>
    <row r="44" spans="1:14" x14ac:dyDescent="0.25">
      <c r="A44" s="84" t="s">
        <v>28</v>
      </c>
      <c r="B44" s="74"/>
      <c r="C44" s="74"/>
      <c r="D44" s="74"/>
      <c r="E44" s="74"/>
      <c r="F44" s="74"/>
      <c r="G44" s="74"/>
      <c r="H44" s="74"/>
      <c r="I44" s="74"/>
      <c r="J44" s="74"/>
      <c r="K44" s="74"/>
      <c r="L44" s="74"/>
      <c r="M44" s="74"/>
      <c r="N44" s="75"/>
    </row>
    <row r="45" spans="1:14" x14ac:dyDescent="0.25">
      <c r="A45" s="73"/>
      <c r="B45" s="74"/>
      <c r="C45" s="74"/>
      <c r="D45" s="74"/>
      <c r="E45" s="74"/>
      <c r="F45" s="74"/>
      <c r="G45" s="74"/>
      <c r="H45" s="74"/>
      <c r="I45" s="74"/>
      <c r="J45" s="74"/>
      <c r="K45" s="74"/>
      <c r="L45" s="74"/>
      <c r="M45" s="74"/>
      <c r="N45" s="75"/>
    </row>
    <row r="46" spans="1:14" x14ac:dyDescent="0.25">
      <c r="A46" s="89" t="s">
        <v>29</v>
      </c>
      <c r="B46" s="66" t="s">
        <v>30</v>
      </c>
      <c r="C46" s="65" t="s">
        <v>31</v>
      </c>
      <c r="D46" s="65"/>
      <c r="E46" s="65"/>
      <c r="F46" s="74"/>
      <c r="G46" s="74"/>
      <c r="H46" s="74"/>
      <c r="I46" s="74"/>
      <c r="J46" s="74"/>
      <c r="K46" s="74"/>
      <c r="L46" s="74"/>
      <c r="M46" s="74"/>
      <c r="N46" s="75"/>
    </row>
    <row r="47" spans="1:14" x14ac:dyDescent="0.25">
      <c r="A47" s="90">
        <f>'Déclaratif de l''événement'!D7</f>
        <v>0.35416666666666669</v>
      </c>
      <c r="B47" s="81">
        <f>A47+'Déclaratif de l''événement'!D48</f>
        <v>0.375</v>
      </c>
      <c r="C47" s="22" t="s">
        <v>36</v>
      </c>
      <c r="D47" s="22"/>
      <c r="E47" s="22"/>
      <c r="F47" s="74"/>
      <c r="G47" s="74"/>
      <c r="H47" s="74"/>
      <c r="I47" s="74"/>
      <c r="J47" s="74"/>
      <c r="K47" s="74"/>
      <c r="L47" s="74"/>
      <c r="M47" s="74"/>
      <c r="N47" s="75"/>
    </row>
    <row r="48" spans="1:14" x14ac:dyDescent="0.25">
      <c r="A48" s="90">
        <f>A47+Paramètres!O6</f>
        <v>0.3576388888888889</v>
      </c>
      <c r="B48" s="81">
        <f>A48+'Déclaratif de l''événement'!D49</f>
        <v>0.37152777777777779</v>
      </c>
      <c r="C48" s="22" t="s">
        <v>37</v>
      </c>
      <c r="D48" s="22"/>
      <c r="E48" s="22"/>
      <c r="F48" s="74"/>
      <c r="G48" s="74"/>
      <c r="H48" s="74"/>
      <c r="I48" s="74"/>
      <c r="J48" s="74"/>
      <c r="K48" s="74"/>
      <c r="L48" s="74"/>
      <c r="M48" s="74"/>
      <c r="N48" s="75"/>
    </row>
    <row r="49" spans="1:14" x14ac:dyDescent="0.25">
      <c r="A49" s="90">
        <f>A47+Paramètres!N2</f>
        <v>0.3611111111111111</v>
      </c>
      <c r="B49" s="81">
        <f>A49+'Déclaratif de l''événement'!D50</f>
        <v>0.375</v>
      </c>
      <c r="C49" s="22" t="s">
        <v>38</v>
      </c>
      <c r="D49" s="22"/>
      <c r="E49" s="22"/>
      <c r="F49" s="74"/>
      <c r="G49" s="74"/>
      <c r="H49" s="74"/>
      <c r="I49" s="74"/>
      <c r="J49" s="74"/>
      <c r="K49" s="74"/>
      <c r="L49" s="74"/>
      <c r="M49" s="74"/>
      <c r="N49" s="75"/>
    </row>
    <row r="50" spans="1:14" x14ac:dyDescent="0.25">
      <c r="A50" s="90">
        <f>B49</f>
        <v>0.375</v>
      </c>
      <c r="B50" s="81">
        <f>A50+'Déclaratif de l''événement'!D51</f>
        <v>0.3888888888888889</v>
      </c>
      <c r="C50" s="22" t="s">
        <v>39</v>
      </c>
      <c r="D50" s="22"/>
      <c r="E50" s="22"/>
      <c r="F50" s="74"/>
      <c r="G50" s="74"/>
      <c r="H50" s="74"/>
      <c r="I50" s="74"/>
      <c r="J50" s="74"/>
      <c r="K50" s="74"/>
      <c r="L50" s="74"/>
      <c r="M50" s="74"/>
      <c r="N50" s="75"/>
    </row>
    <row r="51" spans="1:14" ht="15.75" thickBot="1" x14ac:dyDescent="0.3">
      <c r="A51" s="25"/>
      <c r="B51" s="76"/>
      <c r="C51" s="79"/>
      <c r="D51" s="79"/>
      <c r="E51" s="76"/>
      <c r="F51" s="76"/>
      <c r="G51" s="76"/>
      <c r="H51" s="76"/>
      <c r="I51" s="76"/>
      <c r="J51" s="76"/>
      <c r="K51" s="76"/>
      <c r="L51" s="76"/>
      <c r="M51" s="76"/>
      <c r="N51" s="26"/>
    </row>
    <row r="52" spans="1:14" ht="15.75" thickBot="1" x14ac:dyDescent="0.3"/>
    <row r="53" spans="1:14" x14ac:dyDescent="0.25">
      <c r="A53" s="71" t="s">
        <v>55</v>
      </c>
      <c r="B53" s="72"/>
      <c r="C53" s="72"/>
      <c r="D53" s="72"/>
      <c r="E53" s="72"/>
      <c r="F53" s="72"/>
      <c r="G53" s="72"/>
      <c r="H53" s="72"/>
      <c r="I53" s="72"/>
      <c r="J53" s="72"/>
      <c r="K53" s="72"/>
      <c r="L53" s="72"/>
      <c r="M53" s="72"/>
      <c r="N53" s="24"/>
    </row>
    <row r="54" spans="1:14" x14ac:dyDescent="0.25">
      <c r="A54" s="73"/>
      <c r="B54" s="74"/>
      <c r="C54" s="74"/>
      <c r="D54" s="74"/>
      <c r="E54" s="74"/>
      <c r="F54" s="74"/>
      <c r="G54" s="74"/>
      <c r="H54" s="74"/>
      <c r="I54" s="74"/>
      <c r="J54" s="74"/>
      <c r="K54" s="74"/>
      <c r="L54" s="74"/>
      <c r="M54" s="74"/>
      <c r="N54" s="75"/>
    </row>
    <row r="55" spans="1:14" x14ac:dyDescent="0.25">
      <c r="A55" s="84" t="s">
        <v>54</v>
      </c>
      <c r="B55" s="74"/>
      <c r="C55" s="80" t="s">
        <v>70</v>
      </c>
      <c r="D55" s="91">
        <f>LARGE(B58:B69,1)</f>
        <v>0.48888888888888854</v>
      </c>
      <c r="E55" s="74"/>
      <c r="F55" s="88" t="s">
        <v>60</v>
      </c>
      <c r="G55" s="74"/>
      <c r="H55" s="80" t="s">
        <v>70</v>
      </c>
      <c r="I55" s="91">
        <f>LARGE(G58:G69,1)</f>
        <v>0.63055555555555476</v>
      </c>
      <c r="J55" s="74"/>
      <c r="K55" s="74"/>
      <c r="L55" s="92"/>
      <c r="M55" s="74"/>
      <c r="N55" s="75"/>
    </row>
    <row r="56" spans="1:14" x14ac:dyDescent="0.25">
      <c r="A56" s="73"/>
      <c r="B56" s="74"/>
      <c r="C56" s="74"/>
      <c r="D56" s="74"/>
      <c r="E56" s="74"/>
      <c r="F56" s="74"/>
      <c r="G56" s="74"/>
      <c r="H56" s="74"/>
      <c r="I56" s="74"/>
      <c r="J56" s="74"/>
      <c r="K56" s="74"/>
      <c r="L56" s="74"/>
      <c r="M56" s="74"/>
      <c r="N56" s="75"/>
    </row>
    <row r="57" spans="1:14" x14ac:dyDescent="0.25">
      <c r="A57" s="89" t="s">
        <v>29</v>
      </c>
      <c r="B57" s="66" t="s">
        <v>30</v>
      </c>
      <c r="C57" s="64" t="s">
        <v>31</v>
      </c>
      <c r="D57" s="64" t="s">
        <v>33</v>
      </c>
      <c r="E57" s="74"/>
      <c r="F57" s="66" t="s">
        <v>29</v>
      </c>
      <c r="G57" s="66" t="s">
        <v>30</v>
      </c>
      <c r="H57" s="64" t="s">
        <v>31</v>
      </c>
      <c r="I57" s="64" t="s">
        <v>33</v>
      </c>
      <c r="J57" s="74"/>
      <c r="K57" s="93" t="str">
        <f>IF('Déclaratif de l''événement'!D34="Oui","PAUSE RESTAURATION","")</f>
        <v>PAUSE RESTAURATION</v>
      </c>
      <c r="L57" s="74"/>
      <c r="M57" s="74"/>
      <c r="N57" s="75"/>
    </row>
    <row r="58" spans="1:14" x14ac:dyDescent="0.25">
      <c r="A58" s="90">
        <f>B50+'Déclaratif de l''événement'!D45</f>
        <v>0.39027777777777778</v>
      </c>
      <c r="B58" s="81">
        <f>A58+'Déclaratif de l''événement'!$D$37</f>
        <v>0.3972222222222222</v>
      </c>
      <c r="C58" s="6" t="s">
        <v>40</v>
      </c>
      <c r="D58" s="86">
        <v>1</v>
      </c>
      <c r="E58" s="74"/>
      <c r="F58" s="81">
        <f>IF('Déclaratif de l''événement'!D34="oui",'Rapport final'!L58,'Rapport final'!D55)</f>
        <v>0.531944444444444</v>
      </c>
      <c r="G58" s="81">
        <f>F58+'Déclaratif de l''événement'!$D$38</f>
        <v>0.53888888888888842</v>
      </c>
      <c r="H58" s="6" t="s">
        <v>40</v>
      </c>
      <c r="I58" s="86">
        <v>1</v>
      </c>
      <c r="J58" s="74"/>
      <c r="K58" s="94">
        <f>IF('Déclaratif de l''événement'!D34="Oui",'Rapport final'!D55+'Déclaratif de l''événement'!D45,"")</f>
        <v>0.49027777777777742</v>
      </c>
      <c r="L58" s="94">
        <f>IF('Déclaratif de l''événement'!D34="Oui",'Rapport final'!K58+'Déclaratif de l''événement'!D35,"")</f>
        <v>0.531944444444444</v>
      </c>
      <c r="M58" s="74"/>
      <c r="N58" s="75"/>
    </row>
    <row r="59" spans="1:14" x14ac:dyDescent="0.25">
      <c r="A59" s="90">
        <f>B58+'Déclaratif de l''événement'!$D$45</f>
        <v>0.39861111111111108</v>
      </c>
      <c r="B59" s="81">
        <f>A59+'Déclaratif de l''événement'!$D$41</f>
        <v>0.4055555555555555</v>
      </c>
      <c r="C59" s="6" t="s">
        <v>41</v>
      </c>
      <c r="D59" s="86">
        <f>IF(C58="Echauffement",D58,D58+1)</f>
        <v>1</v>
      </c>
      <c r="E59" s="74"/>
      <c r="F59" s="81">
        <f>G58+'Déclaratif de l''événement'!$D$45</f>
        <v>0.5402777777777773</v>
      </c>
      <c r="G59" s="81">
        <f>F59+'Déclaratif de l''événement'!$D$42</f>
        <v>0.54722222222222172</v>
      </c>
      <c r="H59" s="6" t="s">
        <v>41</v>
      </c>
      <c r="I59" s="86">
        <f>IF(H58="Echauffement",I58,I58+1)</f>
        <v>1</v>
      </c>
      <c r="J59" s="74"/>
      <c r="K59" s="74"/>
      <c r="L59" s="74"/>
      <c r="M59" s="74"/>
      <c r="N59" s="75"/>
    </row>
    <row r="60" spans="1:14" x14ac:dyDescent="0.25">
      <c r="A60" s="90">
        <f>B59+Paramètres!$I$24</f>
        <v>0.40694444444444439</v>
      </c>
      <c r="B60" s="81">
        <f>A60+'Déclaratif de l''événement'!$D$37</f>
        <v>0.41388888888888881</v>
      </c>
      <c r="C60" s="6" t="s">
        <v>40</v>
      </c>
      <c r="D60" s="86">
        <f t="shared" ref="D60:D69" si="0">IF(C59="Echauffement",D59,D59+1)</f>
        <v>2</v>
      </c>
      <c r="E60" s="74"/>
      <c r="F60" s="81">
        <f>G59+Paramètres!$I$24</f>
        <v>0.54861111111111061</v>
      </c>
      <c r="G60" s="81">
        <f>F60+'Déclaratif de l''événement'!$D$38</f>
        <v>0.55555555555555503</v>
      </c>
      <c r="H60" s="6" t="s">
        <v>40</v>
      </c>
      <c r="I60" s="86">
        <f t="shared" ref="I60:I67" si="1">IF(H59="Echauffement",I59,I59+1)</f>
        <v>2</v>
      </c>
      <c r="J60" s="74"/>
      <c r="K60" s="74"/>
      <c r="L60" s="74"/>
      <c r="M60" s="74"/>
      <c r="N60" s="75"/>
    </row>
    <row r="61" spans="1:14" x14ac:dyDescent="0.25">
      <c r="A61" s="90">
        <f>B60+'Déclaratif de l''événement'!$D$45</f>
        <v>0.41527777777777769</v>
      </c>
      <c r="B61" s="81">
        <f>A61+'Déclaratif de l''événement'!$D$41</f>
        <v>0.42222222222222211</v>
      </c>
      <c r="C61" s="6" t="s">
        <v>41</v>
      </c>
      <c r="D61" s="86">
        <f t="shared" si="0"/>
        <v>2</v>
      </c>
      <c r="E61" s="74"/>
      <c r="F61" s="81">
        <f>G60+'Déclaratif de l''événement'!$D$45</f>
        <v>0.55694444444444391</v>
      </c>
      <c r="G61" s="81">
        <f>F61+'Déclaratif de l''événement'!$D$42</f>
        <v>0.56388888888888833</v>
      </c>
      <c r="H61" s="6" t="s">
        <v>41</v>
      </c>
      <c r="I61" s="86">
        <f t="shared" si="1"/>
        <v>2</v>
      </c>
      <c r="J61" s="74"/>
      <c r="K61" s="74"/>
      <c r="L61" s="74"/>
      <c r="M61" s="74"/>
      <c r="N61" s="75"/>
    </row>
    <row r="62" spans="1:14" x14ac:dyDescent="0.25">
      <c r="A62" s="90">
        <f>B61+Paramètres!$I$24</f>
        <v>0.42361111111111099</v>
      </c>
      <c r="B62" s="81">
        <f>A62+'Déclaratif de l''événement'!$D$37</f>
        <v>0.43055555555555541</v>
      </c>
      <c r="C62" s="6" t="s">
        <v>40</v>
      </c>
      <c r="D62" s="86">
        <f t="shared" si="0"/>
        <v>3</v>
      </c>
      <c r="E62" s="74"/>
      <c r="F62" s="81">
        <f t="shared" ref="F59:F68" si="2">G61+Interechaufepreuv</f>
        <v>0.56527777777777721</v>
      </c>
      <c r="G62" s="81">
        <f>F62+'Déclaratif de l''événement'!$D$38</f>
        <v>0.57222222222222163</v>
      </c>
      <c r="H62" s="6" t="s">
        <v>40</v>
      </c>
      <c r="I62" s="86">
        <f t="shared" si="1"/>
        <v>3</v>
      </c>
      <c r="J62" s="74"/>
      <c r="K62" s="74"/>
      <c r="L62" s="74"/>
      <c r="M62" s="74"/>
      <c r="N62" s="75"/>
    </row>
    <row r="63" spans="1:14" x14ac:dyDescent="0.25">
      <c r="A63" s="90">
        <f>B62+'Déclaratif de l''événement'!$D$45</f>
        <v>0.4319444444444443</v>
      </c>
      <c r="B63" s="81">
        <f>A63+'Déclaratif de l''événement'!$D$41</f>
        <v>0.43888888888888872</v>
      </c>
      <c r="C63" s="6" t="s">
        <v>41</v>
      </c>
      <c r="D63" s="86">
        <f t="shared" si="0"/>
        <v>3</v>
      </c>
      <c r="E63" s="74"/>
      <c r="F63" s="81">
        <f>G62+'Déclaratif de l''événement'!$D$45</f>
        <v>0.57361111111111052</v>
      </c>
      <c r="G63" s="81">
        <f>F63+'Déclaratif de l''événement'!$D$42</f>
        <v>0.58055555555555494</v>
      </c>
      <c r="H63" s="6" t="s">
        <v>41</v>
      </c>
      <c r="I63" s="86">
        <f t="shared" si="1"/>
        <v>3</v>
      </c>
      <c r="J63" s="74"/>
      <c r="K63" s="74"/>
      <c r="L63" s="74"/>
      <c r="M63" s="74"/>
      <c r="N63" s="75"/>
    </row>
    <row r="64" spans="1:14" x14ac:dyDescent="0.25">
      <c r="A64" s="90">
        <f>B63+Paramètres!$I$24</f>
        <v>0.4402777777777776</v>
      </c>
      <c r="B64" s="81">
        <f>A64+'Déclaratif de l''événement'!$D$37</f>
        <v>0.44722222222222202</v>
      </c>
      <c r="C64" s="6" t="s">
        <v>40</v>
      </c>
      <c r="D64" s="86">
        <f t="shared" si="0"/>
        <v>4</v>
      </c>
      <c r="E64" s="74"/>
      <c r="F64" s="81">
        <f t="shared" si="2"/>
        <v>0.58194444444444382</v>
      </c>
      <c r="G64" s="81">
        <f>F64+'Déclaratif de l''événement'!$D$38</f>
        <v>0.58888888888888824</v>
      </c>
      <c r="H64" s="6" t="s">
        <v>40</v>
      </c>
      <c r="I64" s="86">
        <f t="shared" si="1"/>
        <v>4</v>
      </c>
      <c r="J64" s="74"/>
      <c r="K64" s="74"/>
      <c r="L64" s="74"/>
      <c r="M64" s="74"/>
      <c r="N64" s="75"/>
    </row>
    <row r="65" spans="1:14" x14ac:dyDescent="0.25">
      <c r="A65" s="90">
        <f>B64+'Déclaratif de l''événement'!$D$45</f>
        <v>0.44861111111111091</v>
      </c>
      <c r="B65" s="81">
        <f>A65+'Déclaratif de l''événement'!$D$41</f>
        <v>0.45555555555555532</v>
      </c>
      <c r="C65" s="6" t="s">
        <v>41</v>
      </c>
      <c r="D65" s="86">
        <f t="shared" si="0"/>
        <v>4</v>
      </c>
      <c r="E65" s="74"/>
      <c r="F65" s="81">
        <f>G64+'Déclaratif de l''événement'!$D$45</f>
        <v>0.59027777777777712</v>
      </c>
      <c r="G65" s="81">
        <f>F65+'Déclaratif de l''événement'!$D$42</f>
        <v>0.59722222222222154</v>
      </c>
      <c r="H65" s="6" t="s">
        <v>41</v>
      </c>
      <c r="I65" s="86">
        <f t="shared" si="1"/>
        <v>4</v>
      </c>
      <c r="J65" s="74"/>
      <c r="K65" s="74"/>
      <c r="L65" s="74"/>
      <c r="M65" s="74"/>
      <c r="N65" s="75"/>
    </row>
    <row r="66" spans="1:14" x14ac:dyDescent="0.25">
      <c r="A66" s="90">
        <f>B65+Paramètres!$I$24</f>
        <v>0.45694444444444421</v>
      </c>
      <c r="B66" s="81">
        <f>A66+'Déclaratif de l''événement'!$D$37</f>
        <v>0.46388888888888863</v>
      </c>
      <c r="C66" s="6" t="s">
        <v>40</v>
      </c>
      <c r="D66" s="86">
        <f t="shared" si="0"/>
        <v>5</v>
      </c>
      <c r="E66" s="74"/>
      <c r="F66" s="81">
        <f t="shared" si="2"/>
        <v>0.59861111111111043</v>
      </c>
      <c r="G66" s="81">
        <f>F66+'Déclaratif de l''événement'!$D$38</f>
        <v>0.60555555555555485</v>
      </c>
      <c r="H66" s="6" t="s">
        <v>40</v>
      </c>
      <c r="I66" s="86">
        <f t="shared" si="1"/>
        <v>5</v>
      </c>
      <c r="J66" s="74"/>
      <c r="K66" s="74"/>
      <c r="L66" s="74"/>
      <c r="M66" s="74"/>
      <c r="N66" s="75"/>
    </row>
    <row r="67" spans="1:14" x14ac:dyDescent="0.25">
      <c r="A67" s="90">
        <f>B66+'Déclaratif de l''événement'!$D$45</f>
        <v>0.46527777777777751</v>
      </c>
      <c r="B67" s="81">
        <f>A67+'Déclaratif de l''événement'!$D$41</f>
        <v>0.47222222222222193</v>
      </c>
      <c r="C67" s="6" t="s">
        <v>41</v>
      </c>
      <c r="D67" s="86">
        <f t="shared" si="0"/>
        <v>5</v>
      </c>
      <c r="E67" s="74"/>
      <c r="F67" s="81">
        <f>G66+'Déclaratif de l''événement'!$D$45</f>
        <v>0.60694444444444373</v>
      </c>
      <c r="G67" s="81">
        <f>F67+'Déclaratif de l''événement'!$D$42</f>
        <v>0.61388888888888815</v>
      </c>
      <c r="H67" s="6" t="s">
        <v>41</v>
      </c>
      <c r="I67" s="86">
        <f t="shared" si="1"/>
        <v>5</v>
      </c>
      <c r="J67" s="74"/>
      <c r="K67" s="74"/>
      <c r="L67" s="74"/>
      <c r="M67" s="74"/>
      <c r="N67" s="75"/>
    </row>
    <row r="68" spans="1:14" x14ac:dyDescent="0.25">
      <c r="A68" s="90">
        <f>B67+Paramètres!$I$24</f>
        <v>0.47361111111111082</v>
      </c>
      <c r="B68" s="81">
        <f>A68+'Déclaratif de l''événement'!$D$37</f>
        <v>0.48055555555555524</v>
      </c>
      <c r="C68" s="6" t="s">
        <v>40</v>
      </c>
      <c r="D68" s="86">
        <f t="shared" si="0"/>
        <v>6</v>
      </c>
      <c r="E68" s="74"/>
      <c r="F68" s="81">
        <f t="shared" si="2"/>
        <v>0.61527777777777704</v>
      </c>
      <c r="G68" s="81">
        <f>F68+'Déclaratif de l''événement'!$D$38</f>
        <v>0.62222222222222145</v>
      </c>
      <c r="H68" s="6" t="s">
        <v>40</v>
      </c>
      <c r="I68" s="86">
        <f t="shared" ref="I68:I69" si="3">IF(H67="Echauffement",I67,I67+1)</f>
        <v>6</v>
      </c>
      <c r="J68" s="74"/>
      <c r="K68" s="74"/>
      <c r="L68" s="74"/>
      <c r="M68" s="74"/>
      <c r="N68" s="75"/>
    </row>
    <row r="69" spans="1:14" x14ac:dyDescent="0.25">
      <c r="A69" s="90">
        <f>B68+'Déclaratif de l''événement'!$D$45</f>
        <v>0.48194444444444412</v>
      </c>
      <c r="B69" s="81">
        <f>A69+'Déclaratif de l''événement'!$D$41</f>
        <v>0.48888888888888854</v>
      </c>
      <c r="C69" s="6" t="s">
        <v>41</v>
      </c>
      <c r="D69" s="86">
        <f t="shared" si="0"/>
        <v>6</v>
      </c>
      <c r="E69" s="74"/>
      <c r="F69" s="81">
        <f>G68+'Déclaratif de l''événement'!$D$45</f>
        <v>0.62361111111111034</v>
      </c>
      <c r="G69" s="81">
        <f>F69+'Déclaratif de l''événement'!$D$42</f>
        <v>0.63055555555555476</v>
      </c>
      <c r="H69" s="6" t="s">
        <v>41</v>
      </c>
      <c r="I69" s="86">
        <f t="shared" si="3"/>
        <v>6</v>
      </c>
      <c r="J69" s="74"/>
      <c r="K69" s="74"/>
      <c r="L69" s="74"/>
      <c r="M69" s="74"/>
      <c r="N69" s="75"/>
    </row>
    <row r="70" spans="1:14" x14ac:dyDescent="0.25">
      <c r="A70" s="73"/>
      <c r="B70" s="74"/>
      <c r="C70" s="74"/>
      <c r="D70" s="74"/>
      <c r="E70" s="74"/>
      <c r="F70" s="74"/>
      <c r="G70" s="74"/>
      <c r="H70" s="74"/>
      <c r="I70" s="74"/>
      <c r="J70" s="95"/>
      <c r="K70" s="74"/>
      <c r="L70" s="74"/>
      <c r="M70" s="74"/>
      <c r="N70" s="75"/>
    </row>
    <row r="71" spans="1:14" x14ac:dyDescent="0.25">
      <c r="A71" s="73"/>
      <c r="B71" s="74"/>
      <c r="C71" s="74"/>
      <c r="D71" s="74"/>
      <c r="E71" s="74"/>
      <c r="F71" s="74"/>
      <c r="G71" s="74"/>
      <c r="H71" s="74"/>
      <c r="I71" s="74"/>
      <c r="J71" s="74"/>
      <c r="K71" s="74"/>
      <c r="L71" s="74"/>
      <c r="M71" s="74"/>
      <c r="N71" s="75"/>
    </row>
    <row r="72" spans="1:14" x14ac:dyDescent="0.25">
      <c r="A72" s="73"/>
      <c r="B72" s="74"/>
      <c r="C72" s="74"/>
      <c r="D72" s="74"/>
      <c r="E72" s="74"/>
      <c r="F72" s="74"/>
      <c r="G72" s="74"/>
      <c r="H72" s="74"/>
      <c r="I72" s="74"/>
      <c r="J72" s="74"/>
      <c r="K72" s="74"/>
      <c r="L72" s="74"/>
      <c r="M72" s="74"/>
      <c r="N72" s="75"/>
    </row>
    <row r="73" spans="1:14" x14ac:dyDescent="0.25">
      <c r="A73" s="73"/>
      <c r="B73" s="74"/>
      <c r="C73" s="74"/>
      <c r="D73" s="74"/>
      <c r="E73" s="74"/>
      <c r="F73" s="74"/>
      <c r="G73" s="74"/>
      <c r="H73" s="74"/>
      <c r="I73" s="74"/>
      <c r="J73" s="74"/>
      <c r="K73" s="74"/>
      <c r="L73" s="74"/>
      <c r="M73" s="74"/>
      <c r="N73" s="75"/>
    </row>
    <row r="74" spans="1:14" x14ac:dyDescent="0.25">
      <c r="A74" s="73"/>
      <c r="B74" s="74"/>
      <c r="C74" s="74"/>
      <c r="D74" s="74"/>
      <c r="E74" s="74"/>
      <c r="F74" s="74"/>
      <c r="G74" s="74"/>
      <c r="H74" s="74"/>
      <c r="I74" s="74"/>
      <c r="J74" s="74"/>
      <c r="K74" s="74"/>
      <c r="L74" s="74"/>
      <c r="M74" s="74"/>
      <c r="N74" s="75"/>
    </row>
    <row r="75" spans="1:14" x14ac:dyDescent="0.25">
      <c r="A75" s="84" t="s">
        <v>69</v>
      </c>
      <c r="B75" s="74"/>
      <c r="C75" s="80" t="s">
        <v>70</v>
      </c>
      <c r="D75" s="91">
        <f>LARGE(B78:B89,1)</f>
        <v>0.73611111111110994</v>
      </c>
      <c r="E75" s="74"/>
      <c r="F75" s="88" t="str">
        <f>IF('Déclaratif de l''événement'!D30="Oui", "3°) SUPERBIATHLON - 1/2 FINAL","3°) SUPERBIAHTLON - FINAL")</f>
        <v>3°) SUPERBIATHLON - 1/2 FINAL</v>
      </c>
      <c r="G75" s="74"/>
      <c r="H75" s="80" t="s">
        <v>70</v>
      </c>
      <c r="I75" s="91">
        <f>LARGE(G78:G89,1)</f>
        <v>0.84166666666666512</v>
      </c>
      <c r="J75" s="74"/>
      <c r="K75" s="88" t="str">
        <f>IF('Déclaratif de l''événement'!D30="Oui","3°) SUPERBIATHLON - FINALE","")</f>
        <v>3°) SUPERBIATHLON - FINALE</v>
      </c>
      <c r="L75" s="74"/>
      <c r="M75" s="80" t="str">
        <f>IF('Déclaratif de l''événement'!D31="Oui","","Clôturé à ")</f>
        <v xml:space="preserve">Clôturé à </v>
      </c>
      <c r="N75" s="96">
        <f>IF('Déclaratif de l''événement'!D31="Oui","",LARGE(L78:L89,1))</f>
        <v>0.9472222222222203</v>
      </c>
    </row>
    <row r="76" spans="1:14" x14ac:dyDescent="0.25">
      <c r="A76" s="73"/>
      <c r="B76" s="74"/>
      <c r="C76" s="74"/>
      <c r="D76" s="74"/>
      <c r="E76" s="74"/>
      <c r="F76" s="74"/>
      <c r="G76" s="74"/>
      <c r="H76" s="74"/>
      <c r="I76" s="74"/>
      <c r="J76" s="74"/>
      <c r="K76" s="74"/>
      <c r="L76" s="74"/>
      <c r="M76" s="74"/>
      <c r="N76" s="75"/>
    </row>
    <row r="77" spans="1:14" x14ac:dyDescent="0.25">
      <c r="A77" s="89" t="s">
        <v>29</v>
      </c>
      <c r="B77" s="66" t="s">
        <v>30</v>
      </c>
      <c r="C77" s="66" t="s">
        <v>31</v>
      </c>
      <c r="D77" s="66" t="s">
        <v>33</v>
      </c>
      <c r="E77" s="74"/>
      <c r="F77" s="66" t="s">
        <v>29</v>
      </c>
      <c r="G77" s="66" t="s">
        <v>30</v>
      </c>
      <c r="H77" s="64" t="s">
        <v>31</v>
      </c>
      <c r="I77" s="64" t="s">
        <v>33</v>
      </c>
      <c r="J77" s="74"/>
      <c r="K77" s="97" t="str">
        <f>IF('Déclaratif de l''événement'!$D$30="Oui","de","")</f>
        <v>de</v>
      </c>
      <c r="L77" s="97" t="str">
        <f>IF('Déclaratif de l''événement'!$D$30="Oui","jusqu'à","")</f>
        <v>jusqu'à</v>
      </c>
      <c r="M77" s="95" t="str">
        <f>IF('Déclaratif de l''événement'!$D$30="Oui","Actions","")</f>
        <v>Actions</v>
      </c>
      <c r="N77" s="98" t="str">
        <f>IF('Déclaratif de l''événement'!$D$30="Oui","Série n°","")</f>
        <v>Série n°</v>
      </c>
    </row>
    <row r="78" spans="1:14" x14ac:dyDescent="0.25">
      <c r="A78" s="90">
        <f>I55+interpause</f>
        <v>0.63749999999999918</v>
      </c>
      <c r="B78" s="81">
        <f>A78+'Déclaratif de l''événement'!$D$39</f>
        <v>0.6444444444444436</v>
      </c>
      <c r="C78" s="6" t="s">
        <v>40</v>
      </c>
      <c r="D78" s="86">
        <v>1</v>
      </c>
      <c r="E78" s="74"/>
      <c r="F78" s="81">
        <f>D75+interpause</f>
        <v>0.74305555555555436</v>
      </c>
      <c r="G78" s="81">
        <f>F78+'Déclaratif de l''événement'!$D$39</f>
        <v>0.74999999999999878</v>
      </c>
      <c r="H78" s="6" t="s">
        <v>40</v>
      </c>
      <c r="I78" s="86">
        <v>1</v>
      </c>
      <c r="J78" s="74"/>
      <c r="K78" s="99">
        <f>IF('Déclaratif de l''événement'!$D$30="Oui",I75+interpause,"")</f>
        <v>0.84861111111110954</v>
      </c>
      <c r="L78" s="99">
        <f>IF('Déclaratif de l''événement'!$D$30="Oui",K78+'Déclaratif de l''événement'!$D$39,"")</f>
        <v>0.85555555555555396</v>
      </c>
      <c r="M78" s="74" t="str">
        <f>IF('Déclaratif de l''événement'!$D$30="Oui","Echauffement","")</f>
        <v>Echauffement</v>
      </c>
      <c r="N78" s="100">
        <f>IF('Déclaratif de l''événement'!$D$30="Oui",'Rapport final'!I78,"")</f>
        <v>1</v>
      </c>
    </row>
    <row r="79" spans="1:14" x14ac:dyDescent="0.25">
      <c r="A79" s="90">
        <f>B78+'Déclaratif de l''événement'!$D$45</f>
        <v>0.64583333333333248</v>
      </c>
      <c r="B79" s="81">
        <f>A79+'Déclaratif de l''événement'!$D$43</f>
        <v>0.6527777777777769</v>
      </c>
      <c r="C79" s="6" t="s">
        <v>41</v>
      </c>
      <c r="D79" s="86">
        <v>1</v>
      </c>
      <c r="E79" s="74"/>
      <c r="F79" s="81">
        <f t="shared" ref="F79:F87" si="4">G78+Interechaufepreuv</f>
        <v>0.75138888888888766</v>
      </c>
      <c r="G79" s="81">
        <f>F79+'Déclaratif de l''événement'!$D$43</f>
        <v>0.75833333333333208</v>
      </c>
      <c r="H79" s="6" t="s">
        <v>41</v>
      </c>
      <c r="I79" s="86">
        <v>1</v>
      </c>
      <c r="J79" s="74"/>
      <c r="K79" s="99">
        <f>IF('Déclaratif de l''événement'!$D$30="Oui",L78+Interechaufepreuv,"")</f>
        <v>0.85694444444444284</v>
      </c>
      <c r="L79" s="99">
        <f>IF('Déclaratif de l''événement'!$D$30="Oui",K79+'Déclaratif de l''événement'!$D$43,"")</f>
        <v>0.86388888888888726</v>
      </c>
      <c r="M79" s="74" t="str">
        <f>IF('Déclaratif de l''événement'!$D$30="Oui","Epreuve","")</f>
        <v>Epreuve</v>
      </c>
      <c r="N79" s="100">
        <f>IF('Déclaratif de l''événement'!$D$30="Oui",'Rapport final'!I79,"")</f>
        <v>1</v>
      </c>
    </row>
    <row r="80" spans="1:14" x14ac:dyDescent="0.25">
      <c r="A80" s="90">
        <f>B79+Paramètres!$I$24</f>
        <v>0.65416666666666579</v>
      </c>
      <c r="B80" s="81">
        <f>A80+'Déclaratif de l''événement'!$D$39</f>
        <v>0.66111111111111021</v>
      </c>
      <c r="C80" s="6" t="s">
        <v>40</v>
      </c>
      <c r="D80" s="86">
        <v>2</v>
      </c>
      <c r="E80" s="74"/>
      <c r="F80" s="81">
        <f t="shared" si="4"/>
        <v>0.75972222222222097</v>
      </c>
      <c r="G80" s="81">
        <f>F80+'Déclaratif de l''événement'!$D$39</f>
        <v>0.76666666666666539</v>
      </c>
      <c r="H80" s="6" t="s">
        <v>40</v>
      </c>
      <c r="I80" s="86">
        <v>2</v>
      </c>
      <c r="J80" s="74"/>
      <c r="K80" s="99">
        <f>IF('Déclaratif de l''événement'!$D$30="Oui",L79+Interechaufepreuv,"")</f>
        <v>0.86527777777777615</v>
      </c>
      <c r="L80" s="99">
        <f>IF('Déclaratif de l''événement'!$D$30="Oui",K80+'Déclaratif de l''événement'!$D$39,"")</f>
        <v>0.87222222222222057</v>
      </c>
      <c r="M80" s="74" t="str">
        <f>IF('Déclaratif de l''événement'!$D$30="Oui","Echauffement","")</f>
        <v>Echauffement</v>
      </c>
      <c r="N80" s="100">
        <f>IF('Déclaratif de l''événement'!$D$30="Oui",'Rapport final'!I80,"")</f>
        <v>2</v>
      </c>
    </row>
    <row r="81" spans="1:14" x14ac:dyDescent="0.25">
      <c r="A81" s="90">
        <f>B80+'Déclaratif de l''événement'!$D$45</f>
        <v>0.66249999999999909</v>
      </c>
      <c r="B81" s="81">
        <f>A81+'Déclaratif de l''événement'!$D$43</f>
        <v>0.66944444444444351</v>
      </c>
      <c r="C81" s="6" t="s">
        <v>41</v>
      </c>
      <c r="D81" s="86">
        <v>2</v>
      </c>
      <c r="E81" s="74"/>
      <c r="F81" s="81">
        <f t="shared" si="4"/>
        <v>0.76805555555555427</v>
      </c>
      <c r="G81" s="81">
        <f>F81+'Déclaratif de l''événement'!$D$43</f>
        <v>0.77499999999999869</v>
      </c>
      <c r="H81" s="6" t="s">
        <v>41</v>
      </c>
      <c r="I81" s="86">
        <v>2</v>
      </c>
      <c r="J81" s="74"/>
      <c r="K81" s="99">
        <f>IF('Déclaratif de l''événement'!$D$30="Oui",L80+Interechaufepreuv,"")</f>
        <v>0.87361111111110945</v>
      </c>
      <c r="L81" s="99">
        <f>IF('Déclaratif de l''événement'!$D$30="Oui",K81+'Déclaratif de l''événement'!$D$43,"")</f>
        <v>0.88055555555555387</v>
      </c>
      <c r="M81" s="74" t="str">
        <f>IF('Déclaratif de l''événement'!$D$30="Oui","Epreuve","")</f>
        <v>Epreuve</v>
      </c>
      <c r="N81" s="100">
        <f>IF('Déclaratif de l''événement'!$D$30="Oui",'Rapport final'!I81,"")</f>
        <v>2</v>
      </c>
    </row>
    <row r="82" spans="1:14" x14ac:dyDescent="0.25">
      <c r="A82" s="90">
        <f>B81+Paramètres!$I$24</f>
        <v>0.67083333333333239</v>
      </c>
      <c r="B82" s="81">
        <f>A82+'Déclaratif de l''événement'!$D$39</f>
        <v>0.67777777777777681</v>
      </c>
      <c r="C82" s="6" t="s">
        <v>40</v>
      </c>
      <c r="D82" s="86">
        <v>3</v>
      </c>
      <c r="E82" s="74"/>
      <c r="F82" s="81">
        <f t="shared" si="4"/>
        <v>0.77638888888888757</v>
      </c>
      <c r="G82" s="81">
        <f>F82+'Déclaratif de l''événement'!$D$39</f>
        <v>0.78333333333333199</v>
      </c>
      <c r="H82" s="6" t="s">
        <v>40</v>
      </c>
      <c r="I82" s="86">
        <v>3</v>
      </c>
      <c r="J82" s="74"/>
      <c r="K82" s="99">
        <f>IF('Déclaratif de l''événement'!$D$30="Oui",L81+Interechaufepreuv,"")</f>
        <v>0.88194444444444275</v>
      </c>
      <c r="L82" s="99">
        <f>IF('Déclaratif de l''événement'!$D$30="Oui",K82+'Déclaratif de l''événement'!$D$39,"")</f>
        <v>0.88888888888888717</v>
      </c>
      <c r="M82" s="74" t="str">
        <f>IF('Déclaratif de l''événement'!$D$30="Oui","Echauffement","")</f>
        <v>Echauffement</v>
      </c>
      <c r="N82" s="100">
        <f>IF('Déclaratif de l''événement'!$D$30="Oui",'Rapport final'!I82,"")</f>
        <v>3</v>
      </c>
    </row>
    <row r="83" spans="1:14" x14ac:dyDescent="0.25">
      <c r="A83" s="90">
        <f>B82+'Déclaratif de l''événement'!$D$45</f>
        <v>0.6791666666666657</v>
      </c>
      <c r="B83" s="81">
        <f>A83+'Déclaratif de l''événement'!$D$43</f>
        <v>0.68611111111111012</v>
      </c>
      <c r="C83" s="6" t="s">
        <v>41</v>
      </c>
      <c r="D83" s="86">
        <v>3</v>
      </c>
      <c r="E83" s="74"/>
      <c r="F83" s="81">
        <f t="shared" si="4"/>
        <v>0.78472222222222088</v>
      </c>
      <c r="G83" s="81">
        <f>F83+'Déclaratif de l''événement'!$D$43</f>
        <v>0.7916666666666653</v>
      </c>
      <c r="H83" s="6" t="s">
        <v>41</v>
      </c>
      <c r="I83" s="86">
        <v>3</v>
      </c>
      <c r="J83" s="74"/>
      <c r="K83" s="99">
        <f>IF('Déclaratif de l''événement'!$D$30="Oui",L82+Interechaufepreuv,"")</f>
        <v>0.89027777777777606</v>
      </c>
      <c r="L83" s="99">
        <f>IF('Déclaratif de l''événement'!$D$30="Oui",K83+'Déclaratif de l''événement'!$D$43,"")</f>
        <v>0.89722222222222048</v>
      </c>
      <c r="M83" s="74" t="str">
        <f>IF('Déclaratif de l''événement'!$D$30="Oui","Epreuve","")</f>
        <v>Epreuve</v>
      </c>
      <c r="N83" s="100">
        <f>IF('Déclaratif de l''événement'!$D$30="Oui",'Rapport final'!I83,"")</f>
        <v>3</v>
      </c>
    </row>
    <row r="84" spans="1:14" x14ac:dyDescent="0.25">
      <c r="A84" s="90">
        <f>B83+Paramètres!$I$24</f>
        <v>0.687499999999999</v>
      </c>
      <c r="B84" s="81">
        <f>A84+'Déclaratif de l''événement'!$D$39</f>
        <v>0.69444444444444342</v>
      </c>
      <c r="C84" s="6" t="s">
        <v>40</v>
      </c>
      <c r="D84" s="86">
        <v>4</v>
      </c>
      <c r="E84" s="74"/>
      <c r="F84" s="81">
        <f t="shared" si="4"/>
        <v>0.79305555555555418</v>
      </c>
      <c r="G84" s="81">
        <f>F84+'Déclaratif de l''événement'!$D$39</f>
        <v>0.7999999999999986</v>
      </c>
      <c r="H84" s="6" t="s">
        <v>40</v>
      </c>
      <c r="I84" s="86">
        <v>4</v>
      </c>
      <c r="J84" s="74"/>
      <c r="K84" s="99">
        <f>IF('Déclaratif de l''événement'!$D$30="Oui",L83+Interechaufepreuv,"")</f>
        <v>0.89861111111110936</v>
      </c>
      <c r="L84" s="99">
        <f>IF('Déclaratif de l''événement'!$D$30="Oui",K84+'Déclaratif de l''événement'!$D$39,"")</f>
        <v>0.90555555555555378</v>
      </c>
      <c r="M84" s="74" t="str">
        <f>IF('Déclaratif de l''événement'!$D$30="Oui","Echauffement","")</f>
        <v>Echauffement</v>
      </c>
      <c r="N84" s="100">
        <f>IF('Déclaratif de l''événement'!$D$30="Oui",'Rapport final'!I84,"")</f>
        <v>4</v>
      </c>
    </row>
    <row r="85" spans="1:14" x14ac:dyDescent="0.25">
      <c r="A85" s="90">
        <f>B84+'Déclaratif de l''événement'!$D$45</f>
        <v>0.6958333333333323</v>
      </c>
      <c r="B85" s="81">
        <f>A85+'Déclaratif de l''événement'!$D$43</f>
        <v>0.70277777777777672</v>
      </c>
      <c r="C85" s="6" t="s">
        <v>41</v>
      </c>
      <c r="D85" s="86">
        <v>4</v>
      </c>
      <c r="E85" s="74"/>
      <c r="F85" s="81">
        <f t="shared" si="4"/>
        <v>0.80138888888888749</v>
      </c>
      <c r="G85" s="81">
        <f>F85+'Déclaratif de l''événement'!$D$43</f>
        <v>0.8083333333333319</v>
      </c>
      <c r="H85" s="6" t="s">
        <v>41</v>
      </c>
      <c r="I85" s="86">
        <v>4</v>
      </c>
      <c r="J85" s="74"/>
      <c r="K85" s="99">
        <f>IF('Déclaratif de l''événement'!$D$30="Oui",L84+Interechaufepreuv,"")</f>
        <v>0.90694444444444267</v>
      </c>
      <c r="L85" s="99">
        <f>IF('Déclaratif de l''événement'!$D$30="Oui",K85+'Déclaratif de l''événement'!$D$43,"")</f>
        <v>0.91388888888888709</v>
      </c>
      <c r="M85" s="74" t="str">
        <f>IF('Déclaratif de l''événement'!$D$30="Oui","Epreuve","")</f>
        <v>Epreuve</v>
      </c>
      <c r="N85" s="100">
        <f>IF('Déclaratif de l''événement'!$D$30="Oui",'Rapport final'!I85,"")</f>
        <v>4</v>
      </c>
    </row>
    <row r="86" spans="1:14" x14ac:dyDescent="0.25">
      <c r="A86" s="90">
        <f>B85+Paramètres!$I$24</f>
        <v>0.70416666666666561</v>
      </c>
      <c r="B86" s="81">
        <f>A86+'Déclaratif de l''événement'!$D$39</f>
        <v>0.71111111111111003</v>
      </c>
      <c r="C86" s="6" t="s">
        <v>40</v>
      </c>
      <c r="D86" s="86">
        <v>5</v>
      </c>
      <c r="E86" s="74"/>
      <c r="F86" s="81">
        <f t="shared" si="4"/>
        <v>0.80972222222222079</v>
      </c>
      <c r="G86" s="81">
        <f>F86+'Déclaratif de l''événement'!$D$39</f>
        <v>0.81666666666666521</v>
      </c>
      <c r="H86" s="6" t="s">
        <v>40</v>
      </c>
      <c r="I86" s="86">
        <v>5</v>
      </c>
      <c r="J86" s="74"/>
      <c r="K86" s="99">
        <f>IF('Déclaratif de l''événement'!$D$30="Oui",L85+Interechaufepreuv,"")</f>
        <v>0.91527777777777597</v>
      </c>
      <c r="L86" s="99">
        <f>IF('Déclaratif de l''événement'!$D$30="Oui",K86+'Déclaratif de l''événement'!$D$39,"")</f>
        <v>0.92222222222222039</v>
      </c>
      <c r="M86" s="74" t="str">
        <f>IF('Déclaratif de l''événement'!$D$30="Oui","Echauffement","")</f>
        <v>Echauffement</v>
      </c>
      <c r="N86" s="100">
        <f>IF('Déclaratif de l''événement'!$D$30="Oui",'Rapport final'!I86,"")</f>
        <v>5</v>
      </c>
    </row>
    <row r="87" spans="1:14" x14ac:dyDescent="0.25">
      <c r="A87" s="90">
        <f>B86+'Déclaratif de l''événement'!$D$45</f>
        <v>0.71249999999999891</v>
      </c>
      <c r="B87" s="81">
        <f>A87+'Déclaratif de l''événement'!$D$43</f>
        <v>0.71944444444444333</v>
      </c>
      <c r="C87" s="6" t="s">
        <v>41</v>
      </c>
      <c r="D87" s="86">
        <v>5</v>
      </c>
      <c r="E87" s="74"/>
      <c r="F87" s="81">
        <f t="shared" si="4"/>
        <v>0.81805555555555409</v>
      </c>
      <c r="G87" s="81">
        <f>F87+'Déclaratif de l''événement'!$D$43</f>
        <v>0.82499999999999851</v>
      </c>
      <c r="H87" s="6" t="s">
        <v>41</v>
      </c>
      <c r="I87" s="86">
        <v>5</v>
      </c>
      <c r="J87" s="74"/>
      <c r="K87" s="99">
        <f>IF('Déclaratif de l''événement'!$D$30="Oui",L86+Interechaufepreuv,"")</f>
        <v>0.92361111111110927</v>
      </c>
      <c r="L87" s="99">
        <f>IF('Déclaratif de l''événement'!$D$30="Oui",K87+'Déclaratif de l''événement'!$D$43,"")</f>
        <v>0.93055555555555369</v>
      </c>
      <c r="M87" s="74" t="str">
        <f>IF('Déclaratif de l''événement'!$D$30="Oui","Epreuve","")</f>
        <v>Epreuve</v>
      </c>
      <c r="N87" s="100">
        <f>IF('Déclaratif de l''événement'!$D$30="Oui",'Rapport final'!I87,"")</f>
        <v>5</v>
      </c>
    </row>
    <row r="88" spans="1:14" x14ac:dyDescent="0.25">
      <c r="A88" s="90">
        <f>B87+Paramètres!$I$24</f>
        <v>0.72083333333333222</v>
      </c>
      <c r="B88" s="81">
        <f>A88+'Déclaratif de l''événement'!$D$39</f>
        <v>0.72777777777777664</v>
      </c>
      <c r="C88" s="6" t="s">
        <v>40</v>
      </c>
      <c r="D88" s="86">
        <v>6</v>
      </c>
      <c r="E88" s="74"/>
      <c r="F88" s="81">
        <f t="shared" ref="F88:F89" si="5">G87+Interechaufepreuv</f>
        <v>0.8263888888888874</v>
      </c>
      <c r="G88" s="81">
        <f>F88+'Déclaratif de l''événement'!$D$39</f>
        <v>0.83333333333333182</v>
      </c>
      <c r="H88" s="6" t="s">
        <v>40</v>
      </c>
      <c r="I88" s="86">
        <v>6</v>
      </c>
      <c r="J88" s="74"/>
      <c r="K88" s="99">
        <f>IF('Déclaratif de l''événement'!$D$30="Oui",L87+Interechaufepreuv,"")</f>
        <v>0.93194444444444258</v>
      </c>
      <c r="L88" s="99">
        <f>IF('Déclaratif de l''événement'!$D$30="Oui",K88+'Déclaratif de l''événement'!$D$39,"")</f>
        <v>0.938888888888887</v>
      </c>
      <c r="M88" s="74" t="str">
        <f>IF('Déclaratif de l''événement'!$D$30="Oui","Echauffement","")</f>
        <v>Echauffement</v>
      </c>
      <c r="N88" s="100">
        <f>IF('Déclaratif de l''événement'!$D$30="Oui",'Rapport final'!I88,"")</f>
        <v>6</v>
      </c>
    </row>
    <row r="89" spans="1:14" x14ac:dyDescent="0.25">
      <c r="A89" s="90">
        <f>B88+'Déclaratif de l''événement'!$D$45</f>
        <v>0.72916666666666552</v>
      </c>
      <c r="B89" s="81">
        <f>A89+'Déclaratif de l''événement'!$D$43</f>
        <v>0.73611111111110994</v>
      </c>
      <c r="C89" s="6" t="s">
        <v>41</v>
      </c>
      <c r="D89" s="86">
        <v>6</v>
      </c>
      <c r="E89" s="74"/>
      <c r="F89" s="81">
        <f t="shared" si="5"/>
        <v>0.8347222222222207</v>
      </c>
      <c r="G89" s="81">
        <f>F89+'Déclaratif de l''événement'!$D$43</f>
        <v>0.84166666666666512</v>
      </c>
      <c r="H89" s="6" t="s">
        <v>41</v>
      </c>
      <c r="I89" s="86">
        <v>6</v>
      </c>
      <c r="J89" s="74"/>
      <c r="K89" s="99">
        <f>IF('Déclaratif de l''événement'!$D$30="Oui",L88+Interechaufepreuv,"")</f>
        <v>0.94027777777777588</v>
      </c>
      <c r="L89" s="99">
        <f>IF('Déclaratif de l''événement'!$D$30="Oui",K89+'Déclaratif de l''événement'!$D$43,"")</f>
        <v>0.9472222222222203</v>
      </c>
      <c r="M89" s="74" t="str">
        <f>IF('Déclaratif de l''événement'!$D$30="Oui","Epreuve","")</f>
        <v>Epreuve</v>
      </c>
      <c r="N89" s="100">
        <f>IF('Déclaratif de l''événement'!$D$30="Oui",'Rapport final'!I89,"")</f>
        <v>6</v>
      </c>
    </row>
    <row r="90" spans="1:14" ht="15.75" thickBot="1" x14ac:dyDescent="0.3">
      <c r="A90" s="25"/>
      <c r="B90" s="76"/>
      <c r="C90" s="76"/>
      <c r="D90" s="76"/>
      <c r="E90" s="76"/>
      <c r="F90" s="76"/>
      <c r="G90" s="76"/>
      <c r="H90" s="76"/>
      <c r="I90" s="76"/>
      <c r="J90" s="76"/>
      <c r="K90" s="76"/>
      <c r="L90" s="76"/>
      <c r="M90" s="76"/>
      <c r="N90" s="26"/>
    </row>
    <row r="91" spans="1:14" x14ac:dyDescent="0.25">
      <c r="A91" s="23"/>
      <c r="B91" s="72"/>
      <c r="C91" s="72"/>
      <c r="D91" s="72"/>
      <c r="E91" s="72"/>
      <c r="F91" s="72"/>
      <c r="G91" s="72"/>
      <c r="H91" s="72"/>
      <c r="I91" s="72"/>
      <c r="J91" s="72"/>
      <c r="K91" s="103"/>
      <c r="L91" s="103"/>
      <c r="M91" s="103"/>
      <c r="N91" s="104"/>
    </row>
    <row r="92" spans="1:14" x14ac:dyDescent="0.25">
      <c r="A92" s="73"/>
      <c r="B92" s="74"/>
      <c r="C92" s="74"/>
      <c r="D92" s="74"/>
      <c r="E92" s="74"/>
      <c r="F92" s="74"/>
      <c r="G92" s="74"/>
      <c r="H92" s="74"/>
      <c r="I92" s="74"/>
      <c r="J92" s="74"/>
      <c r="K92" s="105"/>
      <c r="L92" s="105"/>
      <c r="M92" s="105"/>
      <c r="N92" s="106"/>
    </row>
    <row r="93" spans="1:14" x14ac:dyDescent="0.25">
      <c r="A93" s="84" t="str">
        <f>IF('Déclaratif de l''événement'!D32="Oui","4°) RELAIS","")</f>
        <v>4°) RELAIS</v>
      </c>
      <c r="B93" s="74"/>
      <c r="C93" s="88" t="str">
        <f>IF('Déclaratif de l''événement'!D32="Oui","Clôturé à ","")</f>
        <v xml:space="preserve">Clôturé à </v>
      </c>
      <c r="D93" s="91">
        <f>IF('Déclaratif de l''événement'!D32="Oui",LARGE(B96:B101,1),"")</f>
        <v>1.0027777777777758</v>
      </c>
      <c r="E93" s="74"/>
      <c r="F93" s="88" t="s">
        <v>59</v>
      </c>
      <c r="G93" s="88"/>
      <c r="H93" s="88"/>
      <c r="I93" s="88"/>
      <c r="J93" s="74"/>
      <c r="K93" s="105"/>
      <c r="L93" s="105"/>
      <c r="M93" s="105"/>
      <c r="N93" s="106"/>
    </row>
    <row r="94" spans="1:14" x14ac:dyDescent="0.25">
      <c r="A94" s="73"/>
      <c r="B94" s="74"/>
      <c r="C94" s="74"/>
      <c r="D94" s="74"/>
      <c r="E94" s="74"/>
      <c r="F94" s="74"/>
      <c r="G94" s="74"/>
      <c r="H94" s="74"/>
      <c r="I94" s="74"/>
      <c r="J94" s="74"/>
      <c r="K94" s="105"/>
      <c r="L94" s="105"/>
      <c r="M94" s="105"/>
      <c r="N94" s="106"/>
    </row>
    <row r="95" spans="1:14" x14ac:dyDescent="0.25">
      <c r="A95" s="101" t="str">
        <f>IF('Déclaratif de l''événement'!$D$32="oui","de","")</f>
        <v>de</v>
      </c>
      <c r="B95" s="97" t="str">
        <f>IF('Déclaratif de l''événement'!$D$32="oui","jusqu'à","")</f>
        <v>jusqu'à</v>
      </c>
      <c r="C95" s="95" t="str">
        <f>IF('Déclaratif de l''événement'!$D$32="oui","actions","")</f>
        <v>actions</v>
      </c>
      <c r="D95" s="95" t="str">
        <f>IF('Déclaratif de l''événement'!$D$32="oui","Série n°","")</f>
        <v>Série n°</v>
      </c>
      <c r="E95" s="74"/>
      <c r="F95" s="66" t="s">
        <v>29</v>
      </c>
      <c r="G95" s="66" t="s">
        <v>30</v>
      </c>
      <c r="H95" s="67" t="s">
        <v>31</v>
      </c>
      <c r="I95" s="68"/>
      <c r="J95" s="74"/>
      <c r="K95" s="105"/>
      <c r="L95" s="105"/>
      <c r="M95" s="105"/>
      <c r="N95" s="106"/>
    </row>
    <row r="96" spans="1:14" x14ac:dyDescent="0.25">
      <c r="A96" s="102">
        <f>IF('Déclaratif de l''événement'!D32="Non","",IF('Déclaratif de l''événement'!D30="Oui",'Rapport final'!N75+interpause,'Rapport final'!I75))</f>
        <v>0.95416666666666472</v>
      </c>
      <c r="B96" s="99">
        <f>IF('Déclaratif de l''événement'!D32="Oui",A96+'Déclaratif de l''événement'!$D$38,"")</f>
        <v>0.96111111111110914</v>
      </c>
      <c r="C96" s="74" t="str">
        <f>IF('Déclaratif de l''événement'!$D$32="Oui","Echauffement","")</f>
        <v>Echauffement</v>
      </c>
      <c r="D96" s="87">
        <f>IF('Déclaratif de l''événement'!$D$32="Oui",1,"")</f>
        <v>1</v>
      </c>
      <c r="E96" s="74"/>
      <c r="F96" s="81">
        <f>LARGE(Paramètres!N28:N32,1)</f>
        <v>1.0027777777777758</v>
      </c>
      <c r="G96" s="81">
        <f>F96+EVACUATION</f>
        <v>1.0166666666666646</v>
      </c>
      <c r="H96" s="69" t="s">
        <v>151</v>
      </c>
      <c r="I96" s="69"/>
      <c r="J96" s="74"/>
      <c r="K96" s="105"/>
      <c r="L96" s="105"/>
      <c r="M96" s="105"/>
      <c r="N96" s="106"/>
    </row>
    <row r="97" spans="1:14" x14ac:dyDescent="0.25">
      <c r="A97" s="102">
        <f>IF('Déclaratif de l''événement'!D32="Oui",B96+'Déclaratif de l''événement'!$D$45,"")</f>
        <v>0.96249999999999802</v>
      </c>
      <c r="B97" s="99">
        <f>IF('Déclaratif de l''événement'!D32="Oui",A97+'Déclaratif de l''événement'!$D$42,"")</f>
        <v>0.96944444444444244</v>
      </c>
      <c r="C97" s="74" t="str">
        <f>IF('Déclaratif de l''événement'!$D$32="Oui","Epreuve","")</f>
        <v>Epreuve</v>
      </c>
      <c r="D97" s="87">
        <f>IF('Déclaratif de l''événement'!$D$32="Oui",1,"")</f>
        <v>1</v>
      </c>
      <c r="E97" s="74"/>
      <c r="F97" s="81">
        <f>G96</f>
        <v>1.0166666666666646</v>
      </c>
      <c r="G97" s="81">
        <f>F97+DOUCHE</f>
        <v>1.0305555555555534</v>
      </c>
      <c r="H97" s="69" t="s">
        <v>152</v>
      </c>
      <c r="I97" s="69"/>
      <c r="J97" s="74"/>
      <c r="K97" s="105"/>
      <c r="L97" s="105"/>
      <c r="M97" s="105"/>
      <c r="N97" s="106"/>
    </row>
    <row r="98" spans="1:14" x14ac:dyDescent="0.25">
      <c r="A98" s="102">
        <f>IF('Déclaratif de l''événement'!D32="Oui",B97+Paramètres!$I$24,"")</f>
        <v>0.97083333333333133</v>
      </c>
      <c r="B98" s="99">
        <f>IF('Déclaratif de l''événement'!D32="oui",A98+'Déclaratif de l''événement'!$D$38,"")</f>
        <v>0.97777777777777575</v>
      </c>
      <c r="C98" s="74" t="str">
        <f>IF('Déclaratif de l''événement'!$D$32="Oui","Echauffement","")</f>
        <v>Echauffement</v>
      </c>
      <c r="D98" s="87">
        <f>IF('Déclaratif de l''événement'!$D$32="Oui",2,"")</f>
        <v>2</v>
      </c>
      <c r="E98" s="74"/>
      <c r="F98" s="81">
        <f>G97</f>
        <v>1.0305555555555534</v>
      </c>
      <c r="G98" s="81">
        <f>F98+MEDAILLE</f>
        <v>1.0618055555555534</v>
      </c>
      <c r="H98" s="69" t="s">
        <v>161</v>
      </c>
      <c r="I98" s="69"/>
      <c r="J98" s="74"/>
      <c r="K98" s="105"/>
      <c r="L98" s="105"/>
      <c r="M98" s="105"/>
      <c r="N98" s="106"/>
    </row>
    <row r="99" spans="1:14" x14ac:dyDescent="0.25">
      <c r="A99" s="102">
        <f>IF('Déclaratif de l''événement'!D32="oui",B98+'Déclaratif de l''événement'!$D$45,"")</f>
        <v>0.97916666666666463</v>
      </c>
      <c r="B99" s="99">
        <f>IF('Déclaratif de l''événement'!D32="Oui",A99+'Déclaratif de l''événement'!$D$42,"")</f>
        <v>0.98611111111110905</v>
      </c>
      <c r="C99" s="74" t="str">
        <f>IF('Déclaratif de l''événement'!$D$32="Oui","Epreuve","")</f>
        <v>Epreuve</v>
      </c>
      <c r="D99" s="87">
        <f>IF('Déclaratif de l''événement'!$D$32="Oui",2,"")</f>
        <v>2</v>
      </c>
      <c r="E99" s="74"/>
      <c r="F99" s="74"/>
      <c r="G99" s="74"/>
      <c r="H99" s="74"/>
      <c r="I99" s="74"/>
      <c r="J99" s="74"/>
      <c r="K99" s="105"/>
      <c r="L99" s="105"/>
      <c r="M99" s="105"/>
      <c r="N99" s="106"/>
    </row>
    <row r="100" spans="1:14" x14ac:dyDescent="0.25">
      <c r="A100" s="102">
        <f>IF('Déclaratif de l''événement'!D32="oui",B99+Interechaufepreuv,"")</f>
        <v>0.98749999999999793</v>
      </c>
      <c r="B100" s="99">
        <f>IF('Déclaratif de l''événement'!D32="Oui",A100+'Déclaratif de l''événement'!$D$38,"")</f>
        <v>0.99444444444444235</v>
      </c>
      <c r="C100" s="74" t="str">
        <f>IF('Déclaratif de l''événement'!$D$32="Oui","Echauffement","")</f>
        <v>Echauffement</v>
      </c>
      <c r="D100" s="87">
        <f>IF('Déclaratif de l''événement'!$D$32="Oui",3,"")</f>
        <v>3</v>
      </c>
      <c r="E100" s="74"/>
      <c r="F100" s="81">
        <f>G98</f>
        <v>1.0618055555555534</v>
      </c>
      <c r="G100" s="67" t="s">
        <v>154</v>
      </c>
      <c r="H100" s="109"/>
      <c r="I100" s="68"/>
      <c r="J100" s="74"/>
      <c r="K100" s="105"/>
      <c r="L100" s="105"/>
      <c r="M100" s="105"/>
      <c r="N100" s="106"/>
    </row>
    <row r="101" spans="1:14" x14ac:dyDescent="0.25">
      <c r="A101" s="102">
        <f>IF('Déclaratif de l''événement'!D32="Oui",B100+'Déclaratif de l''événement'!$D$45,"")</f>
        <v>0.99583333333333124</v>
      </c>
      <c r="B101" s="99">
        <f>IF('Déclaratif de l''événement'!D32="Oui",A101+'Déclaratif de l''événement'!$D$42,"")</f>
        <v>1.0027777777777758</v>
      </c>
      <c r="C101" s="74" t="str">
        <f>IF('Déclaratif de l''événement'!$D$32="Oui","Epreuve","")</f>
        <v>Epreuve</v>
      </c>
      <c r="D101" s="87">
        <f>IF('Déclaratif de l''événement'!$D$32="Oui",3,"")</f>
        <v>3</v>
      </c>
      <c r="E101" s="74"/>
      <c r="F101" s="74"/>
      <c r="G101" s="74"/>
      <c r="H101" s="74"/>
      <c r="I101" s="74"/>
      <c r="J101" s="74"/>
      <c r="K101" s="105"/>
      <c r="L101" s="105"/>
      <c r="M101" s="105"/>
      <c r="N101" s="106"/>
    </row>
    <row r="102" spans="1:14" x14ac:dyDescent="0.25">
      <c r="A102" s="73"/>
      <c r="B102" s="74"/>
      <c r="C102" s="74"/>
      <c r="D102" s="74"/>
      <c r="E102" s="74"/>
      <c r="F102" s="74"/>
      <c r="G102" s="74"/>
      <c r="H102" s="74"/>
      <c r="I102" s="74"/>
      <c r="J102" s="74"/>
      <c r="K102" s="105"/>
      <c r="L102" s="105"/>
      <c r="M102" s="105"/>
      <c r="N102" s="106"/>
    </row>
    <row r="103" spans="1:14" x14ac:dyDescent="0.25">
      <c r="A103" s="73"/>
      <c r="B103" s="74"/>
      <c r="C103" s="74"/>
      <c r="D103" s="74"/>
      <c r="E103" s="74"/>
      <c r="F103" s="74"/>
      <c r="G103" s="74"/>
      <c r="H103" s="74"/>
      <c r="I103" s="74"/>
      <c r="J103" s="74"/>
      <c r="K103" s="105"/>
      <c r="L103" s="105"/>
      <c r="M103" s="105"/>
      <c r="N103" s="106"/>
    </row>
    <row r="104" spans="1:14" ht="15.75" thickBot="1" x14ac:dyDescent="0.3">
      <c r="A104" s="25"/>
      <c r="B104" s="76"/>
      <c r="C104" s="76"/>
      <c r="D104" s="76"/>
      <c r="E104" s="76"/>
      <c r="F104" s="76"/>
      <c r="G104" s="76"/>
      <c r="H104" s="76"/>
      <c r="I104" s="76"/>
      <c r="J104" s="76"/>
      <c r="K104" s="107"/>
      <c r="L104" s="107"/>
      <c r="M104" s="107"/>
      <c r="N104" s="108"/>
    </row>
    <row r="116" spans="3:4" x14ac:dyDescent="0.25">
      <c r="C116" s="70"/>
      <c r="D116" s="70"/>
    </row>
  </sheetData>
  <mergeCells count="25">
    <mergeCell ref="G100:I100"/>
    <mergeCell ref="A1:H6"/>
    <mergeCell ref="I1:N6"/>
    <mergeCell ref="A7:N11"/>
    <mergeCell ref="K12:N13"/>
    <mergeCell ref="K14:N14"/>
    <mergeCell ref="A12:J14"/>
    <mergeCell ref="D24:F24"/>
    <mergeCell ref="D23:F23"/>
    <mergeCell ref="D22:F22"/>
    <mergeCell ref="D21:F21"/>
    <mergeCell ref="D20:F20"/>
    <mergeCell ref="D19:F19"/>
    <mergeCell ref="D25:F25"/>
    <mergeCell ref="K91:N104"/>
    <mergeCell ref="H96:I96"/>
    <mergeCell ref="H97:I97"/>
    <mergeCell ref="H98:I98"/>
    <mergeCell ref="H95:I95"/>
    <mergeCell ref="C50:E50"/>
    <mergeCell ref="C51:D51"/>
    <mergeCell ref="C49:E49"/>
    <mergeCell ref="C48:E48"/>
    <mergeCell ref="C47:E47"/>
    <mergeCell ref="C46:E46"/>
  </mergeCells>
  <conditionalFormatting sqref="E40">
    <cfRule type="cellIs" dxfId="3" priority="5" operator="equal">
      <formula>0</formula>
    </cfRule>
  </conditionalFormatting>
  <conditionalFormatting sqref="K77:N89">
    <cfRule type="cellIs" dxfId="1" priority="2" operator="notEqual">
      <formula>""""""</formula>
    </cfRule>
  </conditionalFormatting>
  <conditionalFormatting sqref="A95:D101">
    <cfRule type="cellIs" dxfId="0" priority="1" operator="notEqual">
      <formula>""""""</formula>
    </cfRule>
  </conditionalFormatting>
  <printOptions horizontalCentered="1" verticalCentered="1"/>
  <pageMargins left="0.70866141732283472" right="0.70866141732283472" top="0.55118110236220474" bottom="0.55118110236220474" header="0.31496062992125984" footer="0.31496062992125984"/>
  <pageSetup paperSize="9" scale="42" orientation="portrait" verticalDpi="0" r:id="rId1"/>
  <headerFooter>
    <oddHeader>&amp;C&amp;"Calibri"&amp;10&amp;K000000 Internal&amp;1#_x000D_</oddHeader>
  </headerFooter>
  <drawing r:id="rId2"/>
  <extLst>
    <ext xmlns:x14="http://schemas.microsoft.com/office/spreadsheetml/2009/9/main" uri="{78C0D931-6437-407d-A8EE-F0AAD7539E65}">
      <x14:conditionalFormattings>
        <x14:conditionalFormatting xmlns:xm="http://schemas.microsoft.com/office/excel/2006/main">
          <x14:cfRule type="cellIs" priority="7" operator="equal" id="{57EF5841-CA49-4EAF-B520-2E764BAC4EFD}">
            <xm:f>Paramètres!$L$3</xm:f>
            <x14:dxf>
              <font>
                <color rgb="FFFF0000"/>
              </font>
            </x14:dxf>
          </x14:cfRule>
          <xm:sqref>C30:C34 F36 H30:H35</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94D95977-CC11-4A37-AC1D-5716973AC6ED}">
          <x14:formula1>
            <xm:f>Paramètres!$G$2:$G$8</xm:f>
          </x14:formula1>
          <xm:sqref>C47:C51</xm:sqref>
        </x14:dataValidation>
        <x14:dataValidation type="list" allowBlank="1" showInputMessage="1" showErrorMessage="1" xr:uid="{FE298136-FE7D-4EF1-A95A-670E69F454A5}">
          <x14:formula1>
            <xm:f>Paramètres!$H$2:$H$4</xm:f>
          </x14:formula1>
          <xm:sqref>C78:C89 H58:H69 C58:C69 H78:H89</xm:sqref>
        </x14:dataValidation>
        <x14:dataValidation type="list" allowBlank="1" showInputMessage="1" showErrorMessage="1" xr:uid="{A3C8CC0B-3598-4776-8917-9286BFECDF85}">
          <x14:formula1>
            <xm:f>Paramètres!$J$2:$J$8</xm:f>
          </x14:formula1>
          <xm:sqref>D78:D89 I78:I89 D58:D69 I58:I69 D96:D101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1684-8E35-40C4-BA35-7E56B7C1406D}">
  <sheetPr>
    <tabColor rgb="FF92D050"/>
  </sheetPr>
  <dimension ref="A1:I54"/>
  <sheetViews>
    <sheetView topLeftCell="A16" workbookViewId="0">
      <selection activeCell="F26" sqref="F26"/>
    </sheetView>
  </sheetViews>
  <sheetFormatPr baseColWidth="10" defaultRowHeight="15" x14ac:dyDescent="0.25"/>
  <cols>
    <col min="2" max="2" width="30.85546875" bestFit="1" customWidth="1"/>
    <col min="3" max="3" width="38.5703125" bestFit="1" customWidth="1"/>
    <col min="4" max="4" width="43.5703125" customWidth="1"/>
  </cols>
  <sheetData>
    <row r="1" spans="1:9" ht="15.75" thickBot="1" x14ac:dyDescent="0.3">
      <c r="A1" s="43"/>
      <c r="B1" s="43"/>
      <c r="C1" s="43"/>
      <c r="D1" s="43"/>
      <c r="E1" s="43" t="s">
        <v>143</v>
      </c>
      <c r="F1" s="43"/>
      <c r="G1" s="43"/>
      <c r="H1" s="43"/>
      <c r="I1" s="43"/>
    </row>
    <row r="2" spans="1:9" x14ac:dyDescent="0.25">
      <c r="A2" s="43"/>
      <c r="B2" s="27" t="s">
        <v>78</v>
      </c>
      <c r="C2" s="28" t="s">
        <v>91</v>
      </c>
      <c r="D2" s="45" t="s">
        <v>92</v>
      </c>
      <c r="E2" s="43"/>
      <c r="F2" s="43"/>
      <c r="G2" s="43"/>
      <c r="H2" s="43"/>
      <c r="I2" s="43"/>
    </row>
    <row r="3" spans="1:9" ht="15.75" thickBot="1" x14ac:dyDescent="0.3">
      <c r="A3" s="43"/>
      <c r="B3" s="29"/>
      <c r="C3" s="30" t="s">
        <v>86</v>
      </c>
      <c r="D3" s="46" t="s">
        <v>94</v>
      </c>
      <c r="E3" s="43"/>
      <c r="F3" s="43"/>
      <c r="G3" s="43"/>
      <c r="H3" s="43"/>
      <c r="I3" s="43"/>
    </row>
    <row r="4" spans="1:9" ht="15.75" thickBot="1" x14ac:dyDescent="0.3">
      <c r="A4" s="43"/>
      <c r="B4" s="43"/>
      <c r="C4" s="43"/>
      <c r="D4" s="43"/>
      <c r="E4" s="43"/>
      <c r="F4" s="43"/>
      <c r="G4" s="43"/>
      <c r="H4" s="43"/>
      <c r="I4" s="43"/>
    </row>
    <row r="5" spans="1:9" x14ac:dyDescent="0.25">
      <c r="A5" s="43"/>
      <c r="B5" s="31" t="s">
        <v>87</v>
      </c>
      <c r="C5" s="32" t="s">
        <v>88</v>
      </c>
      <c r="D5" s="50" t="s">
        <v>105</v>
      </c>
      <c r="E5" s="43"/>
      <c r="F5" s="43"/>
      <c r="G5" s="43"/>
      <c r="H5" s="43"/>
      <c r="I5" s="43"/>
    </row>
    <row r="6" spans="1:9" x14ac:dyDescent="0.25">
      <c r="A6" s="43"/>
      <c r="B6" s="33"/>
      <c r="C6" s="34" t="s">
        <v>89</v>
      </c>
      <c r="D6" s="51">
        <v>44961</v>
      </c>
      <c r="E6" s="43"/>
      <c r="F6" s="43"/>
      <c r="G6" s="43"/>
      <c r="H6" s="43"/>
      <c r="I6" s="43"/>
    </row>
    <row r="7" spans="1:9" x14ac:dyDescent="0.25">
      <c r="A7" s="43"/>
      <c r="B7" s="33"/>
      <c r="C7" s="34" t="s">
        <v>90</v>
      </c>
      <c r="D7" s="52">
        <v>0.35416666666666669</v>
      </c>
      <c r="E7" s="43"/>
      <c r="F7" s="43"/>
      <c r="G7" s="43"/>
      <c r="H7" s="43"/>
      <c r="I7" s="43"/>
    </row>
    <row r="8" spans="1:9" ht="15.75" thickBot="1" x14ac:dyDescent="0.3">
      <c r="A8" s="43"/>
      <c r="B8" s="35"/>
      <c r="C8" s="36" t="s">
        <v>74</v>
      </c>
      <c r="D8" s="54">
        <v>30</v>
      </c>
      <c r="E8" s="43"/>
      <c r="F8" s="43"/>
      <c r="G8" s="43"/>
      <c r="H8" s="43"/>
      <c r="I8" s="43"/>
    </row>
    <row r="9" spans="1:9" ht="15.75" thickBot="1" x14ac:dyDescent="0.3">
      <c r="A9" s="43"/>
      <c r="B9" s="43"/>
      <c r="C9" s="43"/>
      <c r="D9" s="43"/>
      <c r="E9" s="43"/>
      <c r="F9" s="43"/>
      <c r="G9" s="43"/>
      <c r="H9" s="43"/>
      <c r="I9" s="43"/>
    </row>
    <row r="10" spans="1:9" x14ac:dyDescent="0.25">
      <c r="A10" s="43"/>
      <c r="B10" s="31" t="s">
        <v>77</v>
      </c>
      <c r="C10" s="32" t="s">
        <v>72</v>
      </c>
      <c r="D10" s="47" t="s">
        <v>106</v>
      </c>
      <c r="E10" s="43"/>
      <c r="F10" s="43"/>
      <c r="G10" s="43"/>
      <c r="H10" s="43"/>
      <c r="I10" s="43"/>
    </row>
    <row r="11" spans="1:9" x14ac:dyDescent="0.25">
      <c r="A11" s="43"/>
      <c r="B11" s="33"/>
      <c r="C11" s="34" t="s">
        <v>73</v>
      </c>
      <c r="D11" s="48" t="str">
        <f>CONCATENATE(VLOOKUP($D$10,INFOS_PISCINE,2,FALSE),", ",VLOOKUP($D$10,INFOS_PISCINE,3,FALSE))</f>
        <v>22 rue du moulin, 57260 - VAL DE BRIDE</v>
      </c>
      <c r="E11" s="43"/>
      <c r="F11" s="43"/>
      <c r="G11" s="43"/>
      <c r="H11" s="43"/>
      <c r="I11" s="43"/>
    </row>
    <row r="12" spans="1:9" x14ac:dyDescent="0.25">
      <c r="A12" s="43"/>
      <c r="B12" s="33"/>
      <c r="C12" s="34" t="s">
        <v>1</v>
      </c>
      <c r="D12" s="48">
        <f>VLOOKUP($D$10,INFOS_PISCINE,6,FALSE)</f>
        <v>25</v>
      </c>
      <c r="E12" s="43"/>
      <c r="F12" s="43"/>
      <c r="G12" s="43"/>
      <c r="H12" s="43"/>
      <c r="I12" s="43"/>
    </row>
    <row r="13" spans="1:9" x14ac:dyDescent="0.25">
      <c r="A13" s="43"/>
      <c r="B13" s="33"/>
      <c r="C13" s="34" t="s">
        <v>2</v>
      </c>
      <c r="D13" s="48">
        <f>VLOOKUP($D$10,INFOS_PISCINE,4,FALSE)</f>
        <v>5</v>
      </c>
      <c r="E13" s="43"/>
      <c r="F13" s="43"/>
      <c r="G13" s="43"/>
      <c r="H13" s="43"/>
      <c r="I13" s="43"/>
    </row>
    <row r="14" spans="1:9" x14ac:dyDescent="0.25">
      <c r="A14" s="43"/>
      <c r="B14" s="33"/>
      <c r="C14" s="34" t="s">
        <v>7</v>
      </c>
      <c r="D14" s="48">
        <f>VLOOKUP($D$10,INFOS_PISCINE,5,FALSE)</f>
        <v>3</v>
      </c>
      <c r="E14" s="43"/>
      <c r="F14" s="43"/>
      <c r="G14" s="43"/>
      <c r="H14" s="43"/>
      <c r="I14" s="43"/>
    </row>
    <row r="15" spans="1:9" x14ac:dyDescent="0.25">
      <c r="A15" s="43"/>
      <c r="B15" s="33"/>
      <c r="C15" s="34" t="s">
        <v>3</v>
      </c>
      <c r="D15" s="48">
        <f>VLOOKUP($D$10,INFOS_PISCINE,5,FALSE)</f>
        <v>3</v>
      </c>
      <c r="E15" s="43"/>
      <c r="F15" s="43"/>
      <c r="G15" s="43"/>
      <c r="H15" s="43"/>
      <c r="I15" s="43"/>
    </row>
    <row r="16" spans="1:9" x14ac:dyDescent="0.25">
      <c r="A16" s="43"/>
      <c r="B16" s="33"/>
      <c r="C16" s="34" t="s">
        <v>75</v>
      </c>
      <c r="D16" s="48" t="str">
        <f>VLOOKUP($D$10,INFOS_PISCINE,8,FALSE)</f>
        <v>Gueuses et ventouses</v>
      </c>
      <c r="E16" s="43"/>
      <c r="F16" s="43"/>
      <c r="G16" s="43"/>
      <c r="H16" s="43"/>
      <c r="I16" s="43"/>
    </row>
    <row r="17" spans="1:9" x14ac:dyDescent="0.25">
      <c r="A17" s="43"/>
      <c r="B17" s="33"/>
      <c r="C17" s="34" t="s">
        <v>4</v>
      </c>
      <c r="D17" s="48" t="str">
        <f>VLOOKUP($D$10,INFOS_PISCINE,9,FALSE)</f>
        <v>Bonnet facultatif</v>
      </c>
      <c r="E17" s="43"/>
      <c r="F17" s="43"/>
      <c r="G17" s="43"/>
      <c r="H17" s="43"/>
      <c r="I17" s="43"/>
    </row>
    <row r="18" spans="1:9" x14ac:dyDescent="0.25">
      <c r="A18" s="43"/>
      <c r="B18" s="33"/>
      <c r="C18" s="34" t="s">
        <v>5</v>
      </c>
      <c r="D18" s="48">
        <f>VLOOKUP($D$10,INFOS_PISCINE,10,FALSE)</f>
        <v>26</v>
      </c>
      <c r="E18" s="43"/>
      <c r="F18" s="43"/>
      <c r="G18" s="43"/>
      <c r="H18" s="43"/>
      <c r="I18" s="43"/>
    </row>
    <row r="19" spans="1:9" ht="15.75" thickBot="1" x14ac:dyDescent="0.3">
      <c r="A19" s="43"/>
      <c r="B19" s="35"/>
      <c r="C19" s="36" t="s">
        <v>76</v>
      </c>
      <c r="D19" s="49" t="str">
        <f>VLOOKUP($D$10,INFOS_PISCINE,7,FALSE)</f>
        <v>INOX Plat</v>
      </c>
      <c r="E19" s="43"/>
      <c r="F19" s="43"/>
      <c r="G19" s="43"/>
      <c r="H19" s="43"/>
      <c r="I19" s="43"/>
    </row>
    <row r="20" spans="1:9" x14ac:dyDescent="0.25">
      <c r="A20" s="43"/>
      <c r="B20" s="43"/>
      <c r="C20" s="43"/>
      <c r="D20" s="43"/>
      <c r="E20" s="43"/>
      <c r="F20" s="43"/>
      <c r="G20" s="43"/>
      <c r="H20" s="43"/>
      <c r="I20" s="43"/>
    </row>
    <row r="21" spans="1:9" ht="15.75" thickBot="1" x14ac:dyDescent="0.3">
      <c r="A21" s="43"/>
      <c r="B21" s="43"/>
      <c r="C21" s="43"/>
      <c r="D21" s="43"/>
      <c r="E21" s="43"/>
      <c r="F21" s="43"/>
      <c r="G21" s="43"/>
      <c r="H21" s="43"/>
      <c r="I21" s="43"/>
    </row>
    <row r="22" spans="1:9" x14ac:dyDescent="0.25">
      <c r="A22" s="43"/>
      <c r="B22" s="37" t="s">
        <v>84</v>
      </c>
      <c r="C22" s="32" t="s">
        <v>21</v>
      </c>
      <c r="D22" s="50" t="s">
        <v>63</v>
      </c>
      <c r="E22" s="43"/>
      <c r="F22" s="43"/>
      <c r="G22" s="43"/>
      <c r="H22" s="43"/>
      <c r="I22" s="43"/>
    </row>
    <row r="23" spans="1:9" x14ac:dyDescent="0.25">
      <c r="A23" s="43"/>
      <c r="B23" s="38"/>
      <c r="C23" s="34" t="s">
        <v>22</v>
      </c>
      <c r="D23" s="57" t="s">
        <v>62</v>
      </c>
      <c r="E23" s="43"/>
      <c r="F23" s="43"/>
      <c r="G23" s="43"/>
      <c r="H23" s="43"/>
      <c r="I23" s="43"/>
    </row>
    <row r="24" spans="1:9" x14ac:dyDescent="0.25">
      <c r="A24" s="43"/>
      <c r="B24" s="38"/>
      <c r="C24" s="34" t="s">
        <v>23</v>
      </c>
      <c r="D24" s="57" t="s">
        <v>62</v>
      </c>
      <c r="E24" s="43"/>
      <c r="F24" s="43"/>
      <c r="G24" s="43"/>
      <c r="H24" s="43"/>
      <c r="I24" s="43"/>
    </row>
    <row r="25" spans="1:9" x14ac:dyDescent="0.25">
      <c r="A25" s="43"/>
      <c r="B25" s="38"/>
      <c r="C25" s="34" t="s">
        <v>24</v>
      </c>
      <c r="D25" s="57" t="s">
        <v>62</v>
      </c>
      <c r="E25" s="43"/>
      <c r="F25" s="43"/>
      <c r="G25" s="43"/>
      <c r="H25" s="43"/>
      <c r="I25" s="43"/>
    </row>
    <row r="26" spans="1:9" x14ac:dyDescent="0.25">
      <c r="A26" s="43"/>
      <c r="B26" s="38"/>
      <c r="C26" s="34" t="s">
        <v>25</v>
      </c>
      <c r="D26" s="57" t="s">
        <v>62</v>
      </c>
      <c r="E26" s="43"/>
      <c r="F26" s="43"/>
      <c r="G26" s="43"/>
      <c r="H26" s="43"/>
      <c r="I26" s="43"/>
    </row>
    <row r="27" spans="1:9" x14ac:dyDescent="0.25">
      <c r="A27" s="43"/>
      <c r="B27" s="38"/>
      <c r="C27" s="34" t="s">
        <v>26</v>
      </c>
      <c r="D27" s="57" t="s">
        <v>62</v>
      </c>
      <c r="E27" s="43"/>
      <c r="F27" s="43"/>
      <c r="G27" s="43"/>
      <c r="H27" s="43"/>
      <c r="I27" s="43"/>
    </row>
    <row r="28" spans="1:9" x14ac:dyDescent="0.25">
      <c r="A28" s="43"/>
      <c r="B28" s="38"/>
      <c r="C28" s="34" t="s">
        <v>138</v>
      </c>
      <c r="D28" s="57" t="s">
        <v>62</v>
      </c>
      <c r="E28" s="43"/>
      <c r="F28" s="43"/>
      <c r="G28" s="43"/>
      <c r="H28" s="43"/>
      <c r="I28" s="43"/>
    </row>
    <row r="29" spans="1:9" x14ac:dyDescent="0.25">
      <c r="A29" s="43"/>
      <c r="B29" s="38"/>
      <c r="C29" s="34" t="s">
        <v>139</v>
      </c>
      <c r="D29" s="57" t="s">
        <v>62</v>
      </c>
      <c r="E29" s="43"/>
      <c r="F29" s="43"/>
      <c r="G29" s="43"/>
      <c r="H29" s="43"/>
      <c r="I29" s="43"/>
    </row>
    <row r="30" spans="1:9" x14ac:dyDescent="0.25">
      <c r="A30" s="43"/>
      <c r="B30" s="38"/>
      <c r="C30" s="34" t="s">
        <v>141</v>
      </c>
      <c r="D30" s="57" t="s">
        <v>62</v>
      </c>
      <c r="E30" s="44" t="str">
        <f>IF(AND(D30="Oui",D31="Oui"),"Merci de ne laisser que Oui pour la gestion soit avec 1/2, soit sans !","")</f>
        <v/>
      </c>
      <c r="F30" s="44"/>
      <c r="G30" s="44"/>
      <c r="H30" s="44"/>
      <c r="I30" s="44"/>
    </row>
    <row r="31" spans="1:9" x14ac:dyDescent="0.25">
      <c r="A31" s="43"/>
      <c r="B31" s="38"/>
      <c r="C31" s="34" t="s">
        <v>142</v>
      </c>
      <c r="D31" s="57" t="s">
        <v>63</v>
      </c>
      <c r="E31" s="44"/>
      <c r="F31" s="44"/>
      <c r="G31" s="44"/>
      <c r="H31" s="44"/>
      <c r="I31" s="44"/>
    </row>
    <row r="32" spans="1:9" ht="15.75" thickBot="1" x14ac:dyDescent="0.3">
      <c r="A32" s="43"/>
      <c r="B32" s="39"/>
      <c r="C32" s="36" t="s">
        <v>140</v>
      </c>
      <c r="D32" s="58" t="s">
        <v>62</v>
      </c>
      <c r="E32" s="43"/>
      <c r="F32" s="43"/>
      <c r="G32" s="43"/>
      <c r="H32" s="43"/>
      <c r="I32" s="43"/>
    </row>
    <row r="33" spans="1:9" ht="15.75" thickBot="1" x14ac:dyDescent="0.3">
      <c r="A33" s="43"/>
      <c r="B33" s="43"/>
      <c r="C33" s="43"/>
      <c r="D33" s="55"/>
      <c r="E33" s="43"/>
      <c r="F33" s="43"/>
      <c r="G33" s="43"/>
      <c r="H33" s="43"/>
      <c r="I33" s="43"/>
    </row>
    <row r="34" spans="1:9" x14ac:dyDescent="0.25">
      <c r="A34" s="43"/>
      <c r="B34" s="40" t="s">
        <v>85</v>
      </c>
      <c r="C34" s="32" t="s">
        <v>71</v>
      </c>
      <c r="D34" s="50" t="s">
        <v>62</v>
      </c>
      <c r="E34" s="43"/>
      <c r="F34" s="43"/>
      <c r="G34" s="43"/>
      <c r="H34" s="43"/>
      <c r="I34" s="43"/>
    </row>
    <row r="35" spans="1:9" ht="15.75" thickBot="1" x14ac:dyDescent="0.3">
      <c r="A35" s="43"/>
      <c r="B35" s="41"/>
      <c r="C35" s="36" t="str">
        <f>IF(D34="Oui","Durée pause restauration ?","")</f>
        <v>Durée pause restauration ?</v>
      </c>
      <c r="D35" s="59">
        <v>4.1666666666666602E-2</v>
      </c>
      <c r="E35" s="43"/>
      <c r="F35" s="56" t="str">
        <f>IF(D34="non","ne pas séléctionne de valeur","Sélectionne une valeur")</f>
        <v>Sélectionne une valeur</v>
      </c>
      <c r="G35" s="56"/>
      <c r="H35" s="56"/>
      <c r="I35" s="43"/>
    </row>
    <row r="36" spans="1:9" ht="15.75" thickBot="1" x14ac:dyDescent="0.3">
      <c r="A36" s="43"/>
      <c r="B36" s="43"/>
      <c r="C36" s="43"/>
      <c r="D36" s="55"/>
      <c r="E36" s="43"/>
      <c r="F36" s="43"/>
      <c r="G36" s="43"/>
      <c r="H36" s="43"/>
      <c r="I36" s="43"/>
    </row>
    <row r="37" spans="1:9" x14ac:dyDescent="0.25">
      <c r="A37" s="43"/>
      <c r="B37" s="37" t="s">
        <v>83</v>
      </c>
      <c r="C37" s="32" t="s">
        <v>44</v>
      </c>
      <c r="D37" s="60">
        <v>6.9444444444444397E-3</v>
      </c>
      <c r="E37" s="43"/>
      <c r="F37" s="43"/>
      <c r="G37" s="43"/>
      <c r="H37" s="43"/>
      <c r="I37" s="43"/>
    </row>
    <row r="38" spans="1:9" x14ac:dyDescent="0.25">
      <c r="A38" s="43"/>
      <c r="B38" s="38"/>
      <c r="C38" s="34" t="s">
        <v>45</v>
      </c>
      <c r="D38" s="61">
        <v>6.9444444444444397E-3</v>
      </c>
      <c r="E38" s="43"/>
      <c r="F38" s="43"/>
      <c r="G38" s="43"/>
      <c r="H38" s="43"/>
      <c r="I38" s="43"/>
    </row>
    <row r="39" spans="1:9" x14ac:dyDescent="0.25">
      <c r="A39" s="43"/>
      <c r="B39" s="38"/>
      <c r="C39" s="34" t="s">
        <v>46</v>
      </c>
      <c r="D39" s="61">
        <v>6.9444444444444397E-3</v>
      </c>
      <c r="E39" s="43"/>
      <c r="F39" s="43"/>
      <c r="G39" s="43"/>
      <c r="H39" s="43"/>
      <c r="I39" s="43"/>
    </row>
    <row r="40" spans="1:9" ht="15.75" thickBot="1" x14ac:dyDescent="0.3">
      <c r="A40" s="43"/>
      <c r="B40" s="38"/>
      <c r="C40" s="36" t="s">
        <v>47</v>
      </c>
      <c r="D40" s="62">
        <v>6.9444444444444397E-3</v>
      </c>
      <c r="E40" s="43"/>
      <c r="F40" s="43"/>
      <c r="G40" s="43"/>
      <c r="H40" s="43"/>
      <c r="I40" s="43"/>
    </row>
    <row r="41" spans="1:9" x14ac:dyDescent="0.25">
      <c r="A41" s="43"/>
      <c r="B41" s="38"/>
      <c r="C41" s="32" t="s">
        <v>48</v>
      </c>
      <c r="D41" s="60">
        <v>6.9444444444444397E-3</v>
      </c>
      <c r="E41" s="43"/>
      <c r="F41" s="43"/>
      <c r="G41" s="43"/>
      <c r="H41" s="43"/>
      <c r="I41" s="43"/>
    </row>
    <row r="42" spans="1:9" x14ac:dyDescent="0.25">
      <c r="A42" s="43"/>
      <c r="B42" s="38"/>
      <c r="C42" s="34" t="s">
        <v>49</v>
      </c>
      <c r="D42" s="61">
        <v>6.9444444444444397E-3</v>
      </c>
      <c r="E42" s="43"/>
      <c r="F42" s="43"/>
      <c r="G42" s="43"/>
      <c r="H42" s="43"/>
      <c r="I42" s="43"/>
    </row>
    <row r="43" spans="1:9" x14ac:dyDescent="0.25">
      <c r="A43" s="43"/>
      <c r="B43" s="38"/>
      <c r="C43" s="34" t="s">
        <v>50</v>
      </c>
      <c r="D43" s="61">
        <v>6.9444444444444397E-3</v>
      </c>
      <c r="E43" s="43"/>
      <c r="F43" s="43"/>
      <c r="G43" s="43"/>
      <c r="H43" s="43"/>
      <c r="I43" s="43"/>
    </row>
    <row r="44" spans="1:9" ht="15.75" thickBot="1" x14ac:dyDescent="0.3">
      <c r="A44" s="43"/>
      <c r="B44" s="38"/>
      <c r="C44" s="36" t="s">
        <v>51</v>
      </c>
      <c r="D44" s="62">
        <v>6.9444444444444397E-3</v>
      </c>
      <c r="E44" s="43"/>
      <c r="F44" s="43"/>
      <c r="G44" s="43"/>
      <c r="H44" s="43"/>
      <c r="I44" s="43"/>
    </row>
    <row r="45" spans="1:9" x14ac:dyDescent="0.25">
      <c r="A45" s="43"/>
      <c r="B45" s="38"/>
      <c r="C45" s="32" t="s">
        <v>79</v>
      </c>
      <c r="D45" s="60">
        <v>1.3888888888888889E-3</v>
      </c>
      <c r="E45" s="43"/>
      <c r="F45" s="43"/>
      <c r="G45" s="43"/>
      <c r="H45" s="43"/>
      <c r="I45" s="43"/>
    </row>
    <row r="46" spans="1:9" ht="15.75" thickBot="1" x14ac:dyDescent="0.3">
      <c r="A46" s="43"/>
      <c r="B46" s="38"/>
      <c r="C46" s="36" t="s">
        <v>80</v>
      </c>
      <c r="D46" s="62">
        <v>1.3888888888888889E-3</v>
      </c>
      <c r="E46" s="43"/>
      <c r="F46" s="43"/>
      <c r="G46" s="43"/>
      <c r="H46" s="43"/>
      <c r="I46" s="43"/>
    </row>
    <row r="47" spans="1:9" x14ac:dyDescent="0.25">
      <c r="A47" s="43"/>
      <c r="B47" s="38"/>
      <c r="C47" s="42" t="s">
        <v>81</v>
      </c>
      <c r="D47" s="63">
        <v>1.0416666666666666E-2</v>
      </c>
      <c r="E47" s="43"/>
      <c r="F47" s="43"/>
      <c r="G47" s="43"/>
      <c r="H47" s="43"/>
      <c r="I47" s="43"/>
    </row>
    <row r="48" spans="1:9" x14ac:dyDescent="0.25">
      <c r="A48" s="43"/>
      <c r="B48" s="38"/>
      <c r="C48" s="34" t="s">
        <v>147</v>
      </c>
      <c r="D48" s="63">
        <v>2.0833333333333332E-2</v>
      </c>
      <c r="E48" s="43"/>
      <c r="F48" s="43"/>
      <c r="G48" s="43"/>
      <c r="H48" s="43"/>
      <c r="I48" s="43"/>
    </row>
    <row r="49" spans="1:9" x14ac:dyDescent="0.25">
      <c r="A49" s="43"/>
      <c r="B49" s="38"/>
      <c r="C49" s="34" t="s">
        <v>148</v>
      </c>
      <c r="D49" s="63">
        <v>1.3888888888888888E-2</v>
      </c>
      <c r="E49" s="43"/>
      <c r="F49" s="43"/>
      <c r="G49" s="43"/>
      <c r="H49" s="43"/>
      <c r="I49" s="43"/>
    </row>
    <row r="50" spans="1:9" x14ac:dyDescent="0.25">
      <c r="A50" s="43"/>
      <c r="B50" s="38"/>
      <c r="C50" s="34" t="s">
        <v>82</v>
      </c>
      <c r="D50" s="63">
        <v>1.3888888888888888E-2</v>
      </c>
      <c r="E50" s="43"/>
      <c r="F50" s="43"/>
      <c r="G50" s="43"/>
      <c r="H50" s="43"/>
      <c r="I50" s="43"/>
    </row>
    <row r="51" spans="1:9" ht="15.75" thickBot="1" x14ac:dyDescent="0.3">
      <c r="A51" s="43"/>
      <c r="B51" s="39"/>
      <c r="C51" s="36" t="s">
        <v>149</v>
      </c>
      <c r="D51" s="63">
        <v>1.3888888888888888E-2</v>
      </c>
      <c r="E51" s="43"/>
      <c r="F51" s="43"/>
      <c r="G51" s="43"/>
      <c r="H51" s="43"/>
      <c r="I51" s="43"/>
    </row>
    <row r="52" spans="1:9" x14ac:dyDescent="0.25">
      <c r="A52" s="43"/>
      <c r="B52" s="43"/>
      <c r="C52" s="43"/>
      <c r="D52" s="43"/>
      <c r="E52" s="43"/>
      <c r="F52" s="43"/>
      <c r="G52" s="43"/>
      <c r="H52" s="43"/>
      <c r="I52" s="43"/>
    </row>
    <row r="53" spans="1:9" x14ac:dyDescent="0.25">
      <c r="A53" s="43"/>
      <c r="B53" s="43"/>
      <c r="C53" s="43"/>
      <c r="D53" s="43"/>
      <c r="E53" s="43"/>
      <c r="F53" s="43"/>
      <c r="G53" s="43"/>
      <c r="H53" s="43"/>
      <c r="I53" s="43"/>
    </row>
    <row r="54" spans="1:9" x14ac:dyDescent="0.25">
      <c r="A54" s="43"/>
      <c r="B54" s="43"/>
      <c r="C54" s="43"/>
      <c r="D54" s="43"/>
      <c r="E54" s="43"/>
      <c r="F54" s="43"/>
      <c r="G54" s="43"/>
      <c r="H54" s="43"/>
      <c r="I54" s="43"/>
    </row>
  </sheetData>
  <mergeCells count="7">
    <mergeCell ref="B5:B8"/>
    <mergeCell ref="F35:H35"/>
    <mergeCell ref="B37:B51"/>
    <mergeCell ref="B22:B32"/>
    <mergeCell ref="B34:B35"/>
    <mergeCell ref="E30:I31"/>
    <mergeCell ref="B10:B19"/>
  </mergeCells>
  <dataValidations count="11">
    <dataValidation type="list" allowBlank="1" showInputMessage="1" showErrorMessage="1" sqref="E18" xr:uid="{63CFEC0C-F638-4474-850B-1BEA734E14C8}">
      <formula1>"25 mètres, 50 mètres"</formula1>
    </dataValidation>
    <dataValidation type="list" allowBlank="1" showInputMessage="1" showErrorMessage="1" sqref="E17" xr:uid="{30439868-40BC-4F56-8BBD-A6174769A02F}">
      <formula1>"4 lignes,5 lignes,6 lignes,7 lignes,8 lignes,9 lignes,10 lignes,11 lignes,12 lignes"</formula1>
    </dataValidation>
    <dataValidation type="list" allowBlank="1" showInputMessage="1" showErrorMessage="1" sqref="D2" xr:uid="{F97C5A88-4E13-4B49-9DE6-06A64C564AF4}">
      <formula1>CLUBS</formula1>
    </dataValidation>
    <dataValidation type="date" allowBlank="1" showInputMessage="1" showErrorMessage="1" sqref="D6" xr:uid="{7884EEC4-6BAF-493F-911E-82CFA63AE2D3}">
      <formula1>44927</formula1>
      <formula2>73050</formula2>
    </dataValidation>
    <dataValidation type="time" allowBlank="1" showInputMessage="1" showErrorMessage="1" sqref="D7" xr:uid="{9F29B100-9D2C-4196-87BD-26F53425EC23}">
      <formula1>0.25</formula1>
      <formula2>0.833333333333333</formula2>
    </dataValidation>
    <dataValidation type="list" allowBlank="1" showInputMessage="1" showErrorMessage="1" sqref="D10" xr:uid="{4AF8D37E-B9E2-40C5-A4F1-319884CFECB7}">
      <formula1>NOM_PISCINES</formula1>
    </dataValidation>
    <dataValidation type="list" allowBlank="1" showInputMessage="1" showErrorMessage="1" sqref="D34 D22:D32" xr:uid="{FE5FCBCF-D613-4AB4-8062-67B24388E21E}">
      <formula1>Presence</formula1>
    </dataValidation>
    <dataValidation type="list" allowBlank="1" showInputMessage="1" showErrorMessage="1" sqref="D35" xr:uid="{4870E1AF-7731-4DB3-B74E-A8BA1ED174E5}">
      <formula1>TPS_PAUSE</formula1>
    </dataValidation>
    <dataValidation type="list" allowBlank="1" showInputMessage="1" showErrorMessage="1" sqref="D37:D40 D45:D46" xr:uid="{71F5354C-2F43-457E-8273-3CBDEAD608CD}">
      <formula1>DUREE_ECHAUF</formula1>
    </dataValidation>
    <dataValidation type="list" allowBlank="1" showInputMessage="1" showErrorMessage="1" sqref="D41:D44" xr:uid="{0ADDC77B-FDF0-4AFE-AA94-D9A835A1AA4B}">
      <formula1>DUREE_EPREUVE</formula1>
    </dataValidation>
    <dataValidation type="list" allowBlank="1" showInputMessage="1" showErrorMessage="1" sqref="D8" xr:uid="{8E51BC36-E3C0-412D-9103-7B2B6670869C}">
      <formula1>NBR_COMPET</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A5FC7463-8976-40C2-80F2-2DAF4195C384}">
          <x14:formula1>
            <xm:f>Paramètres!$F$23:$F$33</xm:f>
          </x14:formula1>
          <xm:sqref>D3</xm:sqref>
        </x14:dataValidation>
        <x14:dataValidation type="list" allowBlank="1" showInputMessage="1" showErrorMessage="1" xr:uid="{E43ECAB1-5478-4889-84E6-E20BE3FAD680}">
          <x14:formula1>
            <xm:f>Paramètres!$N$2:$N$11</xm:f>
          </x14:formula1>
          <xm:sqref>D47:D51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32D9A-0814-479A-8561-5445F3D8CEEC}">
  <sheetPr>
    <tabColor rgb="FFFFC000"/>
  </sheetPr>
  <dimension ref="A1:Q50"/>
  <sheetViews>
    <sheetView topLeftCell="G1" workbookViewId="0">
      <selection activeCell="K2" sqref="K2"/>
    </sheetView>
  </sheetViews>
  <sheetFormatPr baseColWidth="10" defaultRowHeight="15" x14ac:dyDescent="0.25"/>
  <cols>
    <col min="1" max="1" width="27.85546875" customWidth="1"/>
    <col min="2" max="2" width="14.42578125" bestFit="1" customWidth="1"/>
    <col min="3" max="3" width="48.42578125" bestFit="1" customWidth="1"/>
    <col min="4" max="4" width="12.85546875" bestFit="1" customWidth="1"/>
    <col min="5" max="5" width="30.140625" bestFit="1" customWidth="1"/>
    <col min="6" max="6" width="24.28515625" bestFit="1" customWidth="1"/>
    <col min="8" max="8" width="32.28515625" bestFit="1" customWidth="1"/>
    <col min="9" max="9" width="23.85546875" customWidth="1"/>
    <col min="10" max="10" width="18.28515625" bestFit="1" customWidth="1"/>
    <col min="11" max="11" width="14.42578125" bestFit="1" customWidth="1"/>
    <col min="12" max="12" width="14.42578125" customWidth="1"/>
    <col min="13" max="13" width="12.7109375" customWidth="1"/>
    <col min="14" max="14" width="18.85546875" bestFit="1" customWidth="1"/>
    <col min="15" max="15" width="21.5703125" customWidth="1"/>
    <col min="16" max="16" width="15.85546875" bestFit="1" customWidth="1"/>
    <col min="17" max="17" width="15.85546875" customWidth="1"/>
  </cols>
  <sheetData>
    <row r="1" spans="1:17" ht="75.75" thickBot="1" x14ac:dyDescent="0.3">
      <c r="A1" s="15" t="s">
        <v>107</v>
      </c>
      <c r="B1" s="16" t="s">
        <v>108</v>
      </c>
      <c r="C1" s="16" t="s">
        <v>109</v>
      </c>
      <c r="D1" s="16" t="s">
        <v>110</v>
      </c>
      <c r="E1" s="16" t="s">
        <v>111</v>
      </c>
      <c r="F1" s="17" t="s">
        <v>130</v>
      </c>
      <c r="G1" s="5"/>
      <c r="H1" s="15" t="s">
        <v>113</v>
      </c>
      <c r="I1" s="16" t="s">
        <v>112</v>
      </c>
      <c r="J1" s="16" t="s">
        <v>134</v>
      </c>
      <c r="K1" s="19" t="s">
        <v>133</v>
      </c>
      <c r="L1" s="19" t="s">
        <v>137</v>
      </c>
      <c r="M1" s="19" t="s">
        <v>132</v>
      </c>
      <c r="N1" s="16" t="s">
        <v>114</v>
      </c>
      <c r="O1" s="16" t="s">
        <v>115</v>
      </c>
      <c r="P1" s="16" t="s">
        <v>116</v>
      </c>
      <c r="Q1" s="18" t="s">
        <v>136</v>
      </c>
    </row>
    <row r="2" spans="1:17" x14ac:dyDescent="0.25">
      <c r="A2" s="12" t="s">
        <v>127</v>
      </c>
      <c r="B2" s="13" t="s">
        <v>128</v>
      </c>
      <c r="C2" s="13" t="s">
        <v>129</v>
      </c>
      <c r="D2" s="13"/>
      <c r="E2" s="13" t="s">
        <v>131</v>
      </c>
      <c r="F2" s="14"/>
      <c r="H2" s="12" t="s">
        <v>106</v>
      </c>
      <c r="I2" s="13" t="s">
        <v>117</v>
      </c>
      <c r="J2" s="13" t="s">
        <v>135</v>
      </c>
      <c r="K2" s="13">
        <v>5</v>
      </c>
      <c r="L2" s="13">
        <v>3</v>
      </c>
      <c r="M2" s="13">
        <v>25</v>
      </c>
      <c r="N2" s="13" t="s">
        <v>121</v>
      </c>
      <c r="O2" s="13" t="s">
        <v>15</v>
      </c>
      <c r="P2" s="13" t="s">
        <v>126</v>
      </c>
      <c r="Q2" s="14">
        <v>26</v>
      </c>
    </row>
    <row r="3" spans="1:17" x14ac:dyDescent="0.25">
      <c r="A3" s="7"/>
      <c r="B3" s="6"/>
      <c r="C3" s="6"/>
      <c r="D3" s="6"/>
      <c r="E3" s="6"/>
      <c r="F3" s="8"/>
      <c r="H3" s="7"/>
      <c r="I3" s="6"/>
      <c r="J3" s="6"/>
      <c r="K3" s="6"/>
      <c r="L3" s="6"/>
      <c r="M3" s="6"/>
      <c r="N3" s="6"/>
      <c r="O3" s="6"/>
      <c r="P3" s="6"/>
      <c r="Q3" s="8"/>
    </row>
    <row r="4" spans="1:17" x14ac:dyDescent="0.25">
      <c r="A4" s="7"/>
      <c r="B4" s="6"/>
      <c r="C4" s="6"/>
      <c r="D4" s="6"/>
      <c r="E4" s="6"/>
      <c r="F4" s="8"/>
      <c r="H4" s="7"/>
      <c r="I4" s="6"/>
      <c r="J4" s="6"/>
      <c r="K4" s="6"/>
      <c r="L4" s="6"/>
      <c r="M4" s="6"/>
      <c r="N4" s="6"/>
      <c r="O4" s="6"/>
      <c r="P4" s="6"/>
      <c r="Q4" s="8"/>
    </row>
    <row r="5" spans="1:17" x14ac:dyDescent="0.25">
      <c r="A5" s="7"/>
      <c r="B5" s="6"/>
      <c r="C5" s="6"/>
      <c r="D5" s="6"/>
      <c r="E5" s="6"/>
      <c r="F5" s="8"/>
      <c r="H5" s="7"/>
      <c r="I5" s="6"/>
      <c r="J5" s="6"/>
      <c r="K5" s="6"/>
      <c r="L5" s="6"/>
      <c r="M5" s="6"/>
      <c r="N5" s="6"/>
      <c r="O5" s="6"/>
      <c r="P5" s="6"/>
      <c r="Q5" s="8"/>
    </row>
    <row r="6" spans="1:17" x14ac:dyDescent="0.25">
      <c r="A6" s="7"/>
      <c r="B6" s="6"/>
      <c r="C6" s="6"/>
      <c r="D6" s="6"/>
      <c r="E6" s="6"/>
      <c r="F6" s="8"/>
      <c r="H6" s="7"/>
      <c r="I6" s="6"/>
      <c r="J6" s="6"/>
      <c r="K6" s="6"/>
      <c r="L6" s="6"/>
      <c r="M6" s="6"/>
      <c r="N6" s="6"/>
      <c r="O6" s="6"/>
      <c r="P6" s="6"/>
      <c r="Q6" s="8"/>
    </row>
    <row r="7" spans="1:17" x14ac:dyDescent="0.25">
      <c r="A7" s="7"/>
      <c r="B7" s="6"/>
      <c r="C7" s="6"/>
      <c r="D7" s="6"/>
      <c r="E7" s="6"/>
      <c r="F7" s="8"/>
      <c r="H7" s="7"/>
      <c r="I7" s="6"/>
      <c r="J7" s="6"/>
      <c r="K7" s="6"/>
      <c r="L7" s="6"/>
      <c r="M7" s="6"/>
      <c r="N7" s="6"/>
      <c r="O7" s="6"/>
      <c r="P7" s="6"/>
      <c r="Q7" s="8"/>
    </row>
    <row r="8" spans="1:17" x14ac:dyDescent="0.25">
      <c r="A8" s="7"/>
      <c r="B8" s="6"/>
      <c r="C8" s="6"/>
      <c r="D8" s="6"/>
      <c r="E8" s="6"/>
      <c r="F8" s="8"/>
      <c r="H8" s="7"/>
      <c r="I8" s="6"/>
      <c r="J8" s="6"/>
      <c r="K8" s="6"/>
      <c r="L8" s="6"/>
      <c r="M8" s="6"/>
      <c r="N8" s="6"/>
      <c r="O8" s="6"/>
      <c r="P8" s="6"/>
      <c r="Q8" s="8"/>
    </row>
    <row r="9" spans="1:17" x14ac:dyDescent="0.25">
      <c r="A9" s="7"/>
      <c r="B9" s="6"/>
      <c r="C9" s="6"/>
      <c r="D9" s="6"/>
      <c r="E9" s="6"/>
      <c r="F9" s="8"/>
      <c r="H9" s="7"/>
      <c r="I9" s="6"/>
      <c r="J9" s="6"/>
      <c r="K9" s="6"/>
      <c r="L9" s="6"/>
      <c r="M9" s="6"/>
      <c r="N9" s="6"/>
      <c r="O9" s="6"/>
      <c r="P9" s="6"/>
      <c r="Q9" s="8"/>
    </row>
    <row r="10" spans="1:17" x14ac:dyDescent="0.25">
      <c r="A10" s="7"/>
      <c r="B10" s="6"/>
      <c r="C10" s="6"/>
      <c r="D10" s="6"/>
      <c r="E10" s="6"/>
      <c r="F10" s="8"/>
      <c r="H10" s="7"/>
      <c r="I10" s="6"/>
      <c r="J10" s="6"/>
      <c r="K10" s="6"/>
      <c r="L10" s="6"/>
      <c r="M10" s="6"/>
      <c r="N10" s="6"/>
      <c r="O10" s="6"/>
      <c r="P10" s="6"/>
      <c r="Q10" s="8"/>
    </row>
    <row r="11" spans="1:17" x14ac:dyDescent="0.25">
      <c r="A11" s="7"/>
      <c r="B11" s="6"/>
      <c r="C11" s="6"/>
      <c r="D11" s="6"/>
      <c r="E11" s="6"/>
      <c r="F11" s="8"/>
      <c r="H11" s="7"/>
      <c r="I11" s="6"/>
      <c r="J11" s="6"/>
      <c r="K11" s="6"/>
      <c r="L11" s="6"/>
      <c r="M11" s="6"/>
      <c r="N11" s="6"/>
      <c r="O11" s="6"/>
      <c r="P11" s="6"/>
      <c r="Q11" s="8"/>
    </row>
    <row r="12" spans="1:17" x14ac:dyDescent="0.25">
      <c r="A12" s="7"/>
      <c r="B12" s="6"/>
      <c r="C12" s="6"/>
      <c r="D12" s="6"/>
      <c r="E12" s="6"/>
      <c r="F12" s="8"/>
      <c r="H12" s="7"/>
      <c r="I12" s="6"/>
      <c r="J12" s="6"/>
      <c r="K12" s="6"/>
      <c r="L12" s="6"/>
      <c r="M12" s="6"/>
      <c r="N12" s="6"/>
      <c r="O12" s="6"/>
      <c r="P12" s="6"/>
      <c r="Q12" s="8"/>
    </row>
    <row r="13" spans="1:17" x14ac:dyDescent="0.25">
      <c r="A13" s="7"/>
      <c r="B13" s="6"/>
      <c r="C13" s="6"/>
      <c r="D13" s="6"/>
      <c r="E13" s="6"/>
      <c r="F13" s="8"/>
      <c r="H13" s="7"/>
      <c r="I13" s="6"/>
      <c r="J13" s="6"/>
      <c r="K13" s="6"/>
      <c r="L13" s="6"/>
      <c r="M13" s="6"/>
      <c r="N13" s="6"/>
      <c r="O13" s="6"/>
      <c r="P13" s="6"/>
      <c r="Q13" s="8"/>
    </row>
    <row r="14" spans="1:17" x14ac:dyDescent="0.25">
      <c r="A14" s="7"/>
      <c r="B14" s="6"/>
      <c r="C14" s="6"/>
      <c r="D14" s="6"/>
      <c r="E14" s="6"/>
      <c r="F14" s="8"/>
      <c r="H14" s="7"/>
      <c r="I14" s="6"/>
      <c r="J14" s="6"/>
      <c r="K14" s="6"/>
      <c r="L14" s="6"/>
      <c r="M14" s="6"/>
      <c r="N14" s="6"/>
      <c r="O14" s="6"/>
      <c r="P14" s="6"/>
      <c r="Q14" s="8"/>
    </row>
    <row r="15" spans="1:17" x14ac:dyDescent="0.25">
      <c r="A15" s="7"/>
      <c r="B15" s="6"/>
      <c r="C15" s="6"/>
      <c r="D15" s="6"/>
      <c r="E15" s="6"/>
      <c r="F15" s="8"/>
      <c r="H15" s="7"/>
      <c r="I15" s="6"/>
      <c r="J15" s="6"/>
      <c r="K15" s="6"/>
      <c r="L15" s="6"/>
      <c r="M15" s="6"/>
      <c r="N15" s="6"/>
      <c r="O15" s="6"/>
      <c r="P15" s="6"/>
      <c r="Q15" s="8"/>
    </row>
    <row r="16" spans="1:17" x14ac:dyDescent="0.25">
      <c r="A16" s="7"/>
      <c r="B16" s="6"/>
      <c r="C16" s="6"/>
      <c r="D16" s="6"/>
      <c r="E16" s="6"/>
      <c r="F16" s="8"/>
      <c r="H16" s="7"/>
      <c r="I16" s="6"/>
      <c r="J16" s="6"/>
      <c r="K16" s="6"/>
      <c r="L16" s="6"/>
      <c r="M16" s="6"/>
      <c r="N16" s="6"/>
      <c r="O16" s="6"/>
      <c r="P16" s="6"/>
      <c r="Q16" s="8"/>
    </row>
    <row r="17" spans="1:17" x14ac:dyDescent="0.25">
      <c r="A17" s="7"/>
      <c r="B17" s="6"/>
      <c r="C17" s="6"/>
      <c r="D17" s="6"/>
      <c r="E17" s="6"/>
      <c r="F17" s="8"/>
      <c r="H17" s="7"/>
      <c r="I17" s="6"/>
      <c r="J17" s="6"/>
      <c r="K17" s="6"/>
      <c r="L17" s="6"/>
      <c r="M17" s="6"/>
      <c r="N17" s="6"/>
      <c r="O17" s="6"/>
      <c r="P17" s="6"/>
      <c r="Q17" s="8"/>
    </row>
    <row r="18" spans="1:17" x14ac:dyDescent="0.25">
      <c r="A18" s="7"/>
      <c r="B18" s="6"/>
      <c r="C18" s="6"/>
      <c r="D18" s="6"/>
      <c r="E18" s="6"/>
      <c r="F18" s="8"/>
      <c r="H18" s="7"/>
      <c r="I18" s="6"/>
      <c r="J18" s="6"/>
      <c r="K18" s="6"/>
      <c r="L18" s="6"/>
      <c r="M18" s="6"/>
      <c r="N18" s="6"/>
      <c r="O18" s="6"/>
      <c r="P18" s="6"/>
      <c r="Q18" s="8"/>
    </row>
    <row r="19" spans="1:17" x14ac:dyDescent="0.25">
      <c r="A19" s="7"/>
      <c r="B19" s="6"/>
      <c r="C19" s="6"/>
      <c r="D19" s="6"/>
      <c r="E19" s="6"/>
      <c r="F19" s="8"/>
      <c r="H19" s="7"/>
      <c r="I19" s="6"/>
      <c r="J19" s="6"/>
      <c r="K19" s="6"/>
      <c r="L19" s="6"/>
      <c r="M19" s="6"/>
      <c r="N19" s="6"/>
      <c r="O19" s="6"/>
      <c r="P19" s="6"/>
      <c r="Q19" s="8"/>
    </row>
    <row r="20" spans="1:17" x14ac:dyDescent="0.25">
      <c r="A20" s="7"/>
      <c r="B20" s="6"/>
      <c r="C20" s="6"/>
      <c r="D20" s="6"/>
      <c r="E20" s="6"/>
      <c r="F20" s="8"/>
      <c r="H20" s="7"/>
      <c r="I20" s="6"/>
      <c r="J20" s="6"/>
      <c r="K20" s="6"/>
      <c r="L20" s="6"/>
      <c r="M20" s="6"/>
      <c r="N20" s="6"/>
      <c r="O20" s="6"/>
      <c r="P20" s="6"/>
      <c r="Q20" s="8"/>
    </row>
    <row r="21" spans="1:17" x14ac:dyDescent="0.25">
      <c r="A21" s="7"/>
      <c r="B21" s="6"/>
      <c r="C21" s="6"/>
      <c r="D21" s="6"/>
      <c r="E21" s="6"/>
      <c r="F21" s="8"/>
      <c r="H21" s="7"/>
      <c r="I21" s="6"/>
      <c r="J21" s="6"/>
      <c r="K21" s="6"/>
      <c r="L21" s="6"/>
      <c r="M21" s="6"/>
      <c r="N21" s="6"/>
      <c r="O21" s="6"/>
      <c r="P21" s="6"/>
      <c r="Q21" s="8"/>
    </row>
    <row r="22" spans="1:17" x14ac:dyDescent="0.25">
      <c r="A22" s="7"/>
      <c r="B22" s="6"/>
      <c r="C22" s="6"/>
      <c r="D22" s="6"/>
      <c r="E22" s="6"/>
      <c r="F22" s="8"/>
      <c r="H22" s="7"/>
      <c r="I22" s="6"/>
      <c r="J22" s="6"/>
      <c r="K22" s="6"/>
      <c r="L22" s="6"/>
      <c r="M22" s="6"/>
      <c r="N22" s="6"/>
      <c r="O22" s="6"/>
      <c r="P22" s="6"/>
      <c r="Q22" s="8"/>
    </row>
    <row r="23" spans="1:17" x14ac:dyDescent="0.25">
      <c r="A23" s="7"/>
      <c r="B23" s="6"/>
      <c r="C23" s="6"/>
      <c r="D23" s="6"/>
      <c r="E23" s="6"/>
      <c r="F23" s="8"/>
      <c r="H23" s="7"/>
      <c r="I23" s="6"/>
      <c r="J23" s="6"/>
      <c r="K23" s="6"/>
      <c r="L23" s="6"/>
      <c r="M23" s="6"/>
      <c r="N23" s="6"/>
      <c r="O23" s="6"/>
      <c r="P23" s="6"/>
      <c r="Q23" s="8"/>
    </row>
    <row r="24" spans="1:17" x14ac:dyDescent="0.25">
      <c r="A24" s="7"/>
      <c r="B24" s="6"/>
      <c r="C24" s="6"/>
      <c r="D24" s="6"/>
      <c r="E24" s="6"/>
      <c r="F24" s="8"/>
      <c r="H24" s="7"/>
      <c r="I24" s="6"/>
      <c r="J24" s="6"/>
      <c r="K24" s="6"/>
      <c r="L24" s="6"/>
      <c r="M24" s="6"/>
      <c r="N24" s="6"/>
      <c r="O24" s="6"/>
      <c r="P24" s="6"/>
      <c r="Q24" s="8"/>
    </row>
    <row r="25" spans="1:17" x14ac:dyDescent="0.25">
      <c r="A25" s="7"/>
      <c r="B25" s="6"/>
      <c r="C25" s="6"/>
      <c r="D25" s="6"/>
      <c r="E25" s="6"/>
      <c r="F25" s="8"/>
      <c r="H25" s="7"/>
      <c r="I25" s="6"/>
      <c r="J25" s="6"/>
      <c r="K25" s="6"/>
      <c r="L25" s="6"/>
      <c r="M25" s="6"/>
      <c r="N25" s="6"/>
      <c r="O25" s="6"/>
      <c r="P25" s="6"/>
      <c r="Q25" s="8"/>
    </row>
    <row r="26" spans="1:17" x14ac:dyDescent="0.25">
      <c r="A26" s="7"/>
      <c r="B26" s="6"/>
      <c r="C26" s="6"/>
      <c r="D26" s="6"/>
      <c r="E26" s="6"/>
      <c r="F26" s="8"/>
      <c r="H26" s="7"/>
      <c r="I26" s="6"/>
      <c r="J26" s="6"/>
      <c r="K26" s="6"/>
      <c r="L26" s="6"/>
      <c r="M26" s="6"/>
      <c r="N26" s="6"/>
      <c r="O26" s="6"/>
      <c r="P26" s="6"/>
      <c r="Q26" s="8"/>
    </row>
    <row r="27" spans="1:17" x14ac:dyDescent="0.25">
      <c r="A27" s="7"/>
      <c r="B27" s="6"/>
      <c r="C27" s="6"/>
      <c r="D27" s="6"/>
      <c r="E27" s="6"/>
      <c r="F27" s="8"/>
      <c r="H27" s="7"/>
      <c r="I27" s="6"/>
      <c r="J27" s="6"/>
      <c r="K27" s="6"/>
      <c r="L27" s="6"/>
      <c r="M27" s="6"/>
      <c r="N27" s="6"/>
      <c r="O27" s="6"/>
      <c r="P27" s="6"/>
      <c r="Q27" s="8"/>
    </row>
    <row r="28" spans="1:17" x14ac:dyDescent="0.25">
      <c r="A28" s="7"/>
      <c r="B28" s="6"/>
      <c r="C28" s="6"/>
      <c r="D28" s="6"/>
      <c r="E28" s="6"/>
      <c r="F28" s="8"/>
      <c r="H28" s="7"/>
      <c r="I28" s="6"/>
      <c r="J28" s="6"/>
      <c r="K28" s="6"/>
      <c r="L28" s="6"/>
      <c r="M28" s="6"/>
      <c r="N28" s="6"/>
      <c r="O28" s="6"/>
      <c r="P28" s="6"/>
      <c r="Q28" s="8"/>
    </row>
    <row r="29" spans="1:17" x14ac:dyDescent="0.25">
      <c r="A29" s="7"/>
      <c r="B29" s="6"/>
      <c r="C29" s="6"/>
      <c r="D29" s="6"/>
      <c r="E29" s="6"/>
      <c r="F29" s="8"/>
      <c r="H29" s="7"/>
      <c r="I29" s="6"/>
      <c r="J29" s="6"/>
      <c r="K29" s="6"/>
      <c r="L29" s="6"/>
      <c r="M29" s="6"/>
      <c r="N29" s="6"/>
      <c r="O29" s="6"/>
      <c r="P29" s="6"/>
      <c r="Q29" s="8"/>
    </row>
    <row r="30" spans="1:17" x14ac:dyDescent="0.25">
      <c r="A30" s="7"/>
      <c r="B30" s="6"/>
      <c r="C30" s="6"/>
      <c r="D30" s="6"/>
      <c r="E30" s="6"/>
      <c r="F30" s="8"/>
      <c r="H30" s="7"/>
      <c r="I30" s="6"/>
      <c r="J30" s="6"/>
      <c r="K30" s="6"/>
      <c r="L30" s="6"/>
      <c r="M30" s="6"/>
      <c r="N30" s="6"/>
      <c r="O30" s="6"/>
      <c r="P30" s="6"/>
      <c r="Q30" s="8"/>
    </row>
    <row r="31" spans="1:17" x14ac:dyDescent="0.25">
      <c r="A31" s="7"/>
      <c r="B31" s="6"/>
      <c r="C31" s="6"/>
      <c r="D31" s="6"/>
      <c r="E31" s="6"/>
      <c r="F31" s="8"/>
      <c r="H31" s="7"/>
      <c r="I31" s="6"/>
      <c r="J31" s="6"/>
      <c r="K31" s="6"/>
      <c r="L31" s="6"/>
      <c r="M31" s="6"/>
      <c r="N31" s="6"/>
      <c r="O31" s="6"/>
      <c r="P31" s="6"/>
      <c r="Q31" s="8"/>
    </row>
    <row r="32" spans="1:17" x14ac:dyDescent="0.25">
      <c r="A32" s="7"/>
      <c r="B32" s="6"/>
      <c r="C32" s="6"/>
      <c r="D32" s="6"/>
      <c r="E32" s="6"/>
      <c r="F32" s="8"/>
      <c r="H32" s="7"/>
      <c r="I32" s="6"/>
      <c r="J32" s="6"/>
      <c r="K32" s="6"/>
      <c r="L32" s="6"/>
      <c r="M32" s="6"/>
      <c r="N32" s="6"/>
      <c r="O32" s="6"/>
      <c r="P32" s="6"/>
      <c r="Q32" s="8"/>
    </row>
    <row r="33" spans="1:17" x14ac:dyDescent="0.25">
      <c r="A33" s="7"/>
      <c r="B33" s="6"/>
      <c r="C33" s="6"/>
      <c r="D33" s="6"/>
      <c r="E33" s="6"/>
      <c r="F33" s="8"/>
      <c r="H33" s="7"/>
      <c r="I33" s="6"/>
      <c r="J33" s="6"/>
      <c r="K33" s="6"/>
      <c r="L33" s="6"/>
      <c r="M33" s="6"/>
      <c r="N33" s="6"/>
      <c r="O33" s="6"/>
      <c r="P33" s="6"/>
      <c r="Q33" s="8"/>
    </row>
    <row r="34" spans="1:17" x14ac:dyDescent="0.25">
      <c r="A34" s="7"/>
      <c r="B34" s="6"/>
      <c r="C34" s="6"/>
      <c r="D34" s="6"/>
      <c r="E34" s="6"/>
      <c r="F34" s="8"/>
      <c r="H34" s="7"/>
      <c r="I34" s="6"/>
      <c r="J34" s="6"/>
      <c r="K34" s="6"/>
      <c r="L34" s="6"/>
      <c r="M34" s="6"/>
      <c r="N34" s="6"/>
      <c r="O34" s="6"/>
      <c r="P34" s="6"/>
      <c r="Q34" s="8"/>
    </row>
    <row r="35" spans="1:17" x14ac:dyDescent="0.25">
      <c r="A35" s="7"/>
      <c r="B35" s="6"/>
      <c r="C35" s="6"/>
      <c r="D35" s="6"/>
      <c r="E35" s="6"/>
      <c r="F35" s="8"/>
      <c r="H35" s="7"/>
      <c r="I35" s="6"/>
      <c r="J35" s="6"/>
      <c r="K35" s="6"/>
      <c r="L35" s="6"/>
      <c r="M35" s="6"/>
      <c r="N35" s="6"/>
      <c r="O35" s="6"/>
      <c r="P35" s="6"/>
      <c r="Q35" s="8"/>
    </row>
    <row r="36" spans="1:17" x14ac:dyDescent="0.25">
      <c r="A36" s="7"/>
      <c r="B36" s="6"/>
      <c r="C36" s="6"/>
      <c r="D36" s="6"/>
      <c r="E36" s="6"/>
      <c r="F36" s="8"/>
      <c r="H36" s="7"/>
      <c r="I36" s="6"/>
      <c r="J36" s="6"/>
      <c r="K36" s="6"/>
      <c r="L36" s="6"/>
      <c r="M36" s="6"/>
      <c r="N36" s="6"/>
      <c r="O36" s="6"/>
      <c r="P36" s="6"/>
      <c r="Q36" s="8"/>
    </row>
    <row r="37" spans="1:17" x14ac:dyDescent="0.25">
      <c r="A37" s="7"/>
      <c r="B37" s="6"/>
      <c r="C37" s="6"/>
      <c r="D37" s="6"/>
      <c r="E37" s="6"/>
      <c r="F37" s="8"/>
      <c r="H37" s="7"/>
      <c r="I37" s="6"/>
      <c r="J37" s="6"/>
      <c r="K37" s="6"/>
      <c r="L37" s="6"/>
      <c r="M37" s="6"/>
      <c r="N37" s="6"/>
      <c r="O37" s="6"/>
      <c r="P37" s="6"/>
      <c r="Q37" s="8"/>
    </row>
    <row r="38" spans="1:17" x14ac:dyDescent="0.25">
      <c r="A38" s="7"/>
      <c r="B38" s="6"/>
      <c r="C38" s="6"/>
      <c r="D38" s="6"/>
      <c r="E38" s="6"/>
      <c r="F38" s="8"/>
      <c r="H38" s="7"/>
      <c r="I38" s="6"/>
      <c r="J38" s="6"/>
      <c r="K38" s="6"/>
      <c r="L38" s="6"/>
      <c r="M38" s="6"/>
      <c r="N38" s="6"/>
      <c r="O38" s="6"/>
      <c r="P38" s="6"/>
      <c r="Q38" s="8"/>
    </row>
    <row r="39" spans="1:17" x14ac:dyDescent="0.25">
      <c r="A39" s="7"/>
      <c r="B39" s="6"/>
      <c r="C39" s="6"/>
      <c r="D39" s="6"/>
      <c r="E39" s="6"/>
      <c r="F39" s="8"/>
      <c r="H39" s="7"/>
      <c r="I39" s="6"/>
      <c r="J39" s="6"/>
      <c r="K39" s="6"/>
      <c r="L39" s="6"/>
      <c r="M39" s="6"/>
      <c r="N39" s="6"/>
      <c r="O39" s="6"/>
      <c r="P39" s="6"/>
      <c r="Q39" s="8"/>
    </row>
    <row r="40" spans="1:17" x14ac:dyDescent="0.25">
      <c r="A40" s="7"/>
      <c r="B40" s="6"/>
      <c r="C40" s="6"/>
      <c r="D40" s="6"/>
      <c r="E40" s="6"/>
      <c r="F40" s="8"/>
      <c r="H40" s="7"/>
      <c r="I40" s="6"/>
      <c r="J40" s="6"/>
      <c r="K40" s="6"/>
      <c r="L40" s="6"/>
      <c r="M40" s="6"/>
      <c r="N40" s="6"/>
      <c r="O40" s="6"/>
      <c r="P40" s="6"/>
      <c r="Q40" s="8"/>
    </row>
    <row r="41" spans="1:17" x14ac:dyDescent="0.25">
      <c r="A41" s="7"/>
      <c r="B41" s="6"/>
      <c r="C41" s="6"/>
      <c r="D41" s="6"/>
      <c r="E41" s="6"/>
      <c r="F41" s="8"/>
      <c r="H41" s="7"/>
      <c r="I41" s="6"/>
      <c r="J41" s="6"/>
      <c r="K41" s="6"/>
      <c r="L41" s="6"/>
      <c r="M41" s="6"/>
      <c r="N41" s="6"/>
      <c r="O41" s="6"/>
      <c r="P41" s="6"/>
      <c r="Q41" s="8"/>
    </row>
    <row r="42" spans="1:17" x14ac:dyDescent="0.25">
      <c r="A42" s="7"/>
      <c r="B42" s="6"/>
      <c r="C42" s="6"/>
      <c r="D42" s="6"/>
      <c r="E42" s="6"/>
      <c r="F42" s="8"/>
      <c r="H42" s="7"/>
      <c r="I42" s="6"/>
      <c r="J42" s="6"/>
      <c r="K42" s="6"/>
      <c r="L42" s="6"/>
      <c r="M42" s="6"/>
      <c r="N42" s="6"/>
      <c r="O42" s="6"/>
      <c r="P42" s="6"/>
      <c r="Q42" s="8"/>
    </row>
    <row r="43" spans="1:17" x14ac:dyDescent="0.25">
      <c r="A43" s="7"/>
      <c r="B43" s="6"/>
      <c r="C43" s="6"/>
      <c r="D43" s="6"/>
      <c r="E43" s="6"/>
      <c r="F43" s="8"/>
      <c r="H43" s="7"/>
      <c r="I43" s="6"/>
      <c r="J43" s="6"/>
      <c r="K43" s="6"/>
      <c r="L43" s="6"/>
      <c r="M43" s="6"/>
      <c r="N43" s="6"/>
      <c r="O43" s="6"/>
      <c r="P43" s="6"/>
      <c r="Q43" s="8"/>
    </row>
    <row r="44" spans="1:17" x14ac:dyDescent="0.25">
      <c r="A44" s="7"/>
      <c r="B44" s="6"/>
      <c r="C44" s="6"/>
      <c r="D44" s="6"/>
      <c r="E44" s="6"/>
      <c r="F44" s="8"/>
      <c r="H44" s="7"/>
      <c r="I44" s="6"/>
      <c r="J44" s="6"/>
      <c r="K44" s="6"/>
      <c r="L44" s="6"/>
      <c r="M44" s="6"/>
      <c r="N44" s="6"/>
      <c r="O44" s="6"/>
      <c r="P44" s="6"/>
      <c r="Q44" s="8"/>
    </row>
    <row r="45" spans="1:17" x14ac:dyDescent="0.25">
      <c r="A45" s="7"/>
      <c r="B45" s="6"/>
      <c r="C45" s="6"/>
      <c r="D45" s="6"/>
      <c r="E45" s="6"/>
      <c r="F45" s="8"/>
      <c r="H45" s="7"/>
      <c r="I45" s="6"/>
      <c r="J45" s="6"/>
      <c r="K45" s="6"/>
      <c r="L45" s="6"/>
      <c r="M45" s="6"/>
      <c r="N45" s="6"/>
      <c r="O45" s="6"/>
      <c r="P45" s="6"/>
      <c r="Q45" s="8"/>
    </row>
    <row r="46" spans="1:17" x14ac:dyDescent="0.25">
      <c r="A46" s="7"/>
      <c r="B46" s="6"/>
      <c r="C46" s="6"/>
      <c r="D46" s="6"/>
      <c r="E46" s="6"/>
      <c r="F46" s="8"/>
      <c r="H46" s="7"/>
      <c r="I46" s="6"/>
      <c r="J46" s="6"/>
      <c r="K46" s="6"/>
      <c r="L46" s="6"/>
      <c r="M46" s="6"/>
      <c r="N46" s="6"/>
      <c r="O46" s="6"/>
      <c r="P46" s="6"/>
      <c r="Q46" s="8"/>
    </row>
    <row r="47" spans="1:17" x14ac:dyDescent="0.25">
      <c r="A47" s="7"/>
      <c r="B47" s="6"/>
      <c r="C47" s="6"/>
      <c r="D47" s="6"/>
      <c r="E47" s="6"/>
      <c r="F47" s="8"/>
      <c r="H47" s="7"/>
      <c r="I47" s="6"/>
      <c r="J47" s="6"/>
      <c r="K47" s="6"/>
      <c r="L47" s="6"/>
      <c r="M47" s="6"/>
      <c r="N47" s="6"/>
      <c r="O47" s="6"/>
      <c r="P47" s="6"/>
      <c r="Q47" s="8"/>
    </row>
    <row r="48" spans="1:17" x14ac:dyDescent="0.25">
      <c r="A48" s="7"/>
      <c r="B48" s="6"/>
      <c r="C48" s="6"/>
      <c r="D48" s="6"/>
      <c r="E48" s="6"/>
      <c r="F48" s="8"/>
      <c r="H48" s="7"/>
      <c r="I48" s="6"/>
      <c r="J48" s="6"/>
      <c r="K48" s="6"/>
      <c r="L48" s="6"/>
      <c r="M48" s="6"/>
      <c r="N48" s="6"/>
      <c r="O48" s="6"/>
      <c r="P48" s="6"/>
      <c r="Q48" s="8"/>
    </row>
    <row r="49" spans="1:17" x14ac:dyDescent="0.25">
      <c r="A49" s="7"/>
      <c r="B49" s="6"/>
      <c r="C49" s="6"/>
      <c r="D49" s="6"/>
      <c r="E49" s="6"/>
      <c r="F49" s="8"/>
      <c r="H49" s="7"/>
      <c r="I49" s="6"/>
      <c r="J49" s="6"/>
      <c r="K49" s="6"/>
      <c r="L49" s="6"/>
      <c r="M49" s="6"/>
      <c r="N49" s="6"/>
      <c r="O49" s="6"/>
      <c r="P49" s="6"/>
      <c r="Q49" s="8"/>
    </row>
    <row r="50" spans="1:17" ht="15.75" thickBot="1" x14ac:dyDescent="0.3">
      <c r="A50" s="9"/>
      <c r="B50" s="10"/>
      <c r="C50" s="10"/>
      <c r="D50" s="10"/>
      <c r="E50" s="10"/>
      <c r="F50" s="11"/>
      <c r="H50" s="9"/>
      <c r="I50" s="10"/>
      <c r="J50" s="10"/>
      <c r="K50" s="10"/>
      <c r="L50" s="10"/>
      <c r="M50" s="10"/>
      <c r="N50" s="10"/>
      <c r="O50" s="10"/>
      <c r="P50" s="10"/>
      <c r="Q50" s="11"/>
    </row>
  </sheetData>
  <dataValidations count="5">
    <dataValidation type="list" allowBlank="1" showInputMessage="1" showErrorMessage="1" sqref="O2" xr:uid="{632DDFDB-1ACE-483B-BA64-6FAB27C62F54}">
      <formula1>ANCRAGE</formula1>
    </dataValidation>
    <dataValidation type="list" allowBlank="1" showInputMessage="1" showErrorMessage="1" sqref="N2" xr:uid="{4731724D-DC44-471E-8D48-2B034A4CA541}">
      <formula1>REVETEMENT</formula1>
    </dataValidation>
    <dataValidation type="list" allowBlank="1" showInputMessage="1" showErrorMessage="1" sqref="P2" xr:uid="{D6C8A11C-6DED-4BE6-BAD9-72C2774C1657}">
      <formula1>SPECIFICITES</formula1>
    </dataValidation>
    <dataValidation type="list" allowBlank="1" showInputMessage="1" showErrorMessage="1" sqref="Q2" xr:uid="{277086E8-C169-4435-97A0-D847114D697B}">
      <formula1>TEMP_EAU</formula1>
    </dataValidation>
    <dataValidation type="list" allowBlank="1" showInputMessage="1" showErrorMessage="1" sqref="L2" xr:uid="{449C2CF6-C23C-4A41-9D7A-8DCCF76CC1CA}">
      <formula1>PROF_CIBLE</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BE762D2-CFF4-4D57-ADC3-F530224C71BA}">
          <x14:formula1>
            <xm:f>Paramètres!$C$2:$C$10</xm:f>
          </x14:formula1>
          <xm:sqref>K2</xm:sqref>
        </x14:dataValidation>
        <x14:dataValidation type="list" allowBlank="1" showInputMessage="1" showErrorMessage="1" xr:uid="{8BCA409B-DDB0-4441-870A-F91C22C0730E}">
          <x14:formula1>
            <xm:f>Paramètres!$B$2:$B$4</xm:f>
          </x14:formula1>
          <xm:sqref>M2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82FC7-7773-4AFF-A378-672E97E6F128}">
  <sheetPr>
    <tabColor rgb="FFFF0000"/>
  </sheetPr>
  <dimension ref="A1:Q72"/>
  <sheetViews>
    <sheetView topLeftCell="G1" workbookViewId="0">
      <selection activeCell="N31" sqref="N31"/>
    </sheetView>
  </sheetViews>
  <sheetFormatPr baseColWidth="10" defaultRowHeight="15" x14ac:dyDescent="0.25"/>
  <cols>
    <col min="4" max="4" width="17.7109375" bestFit="1" customWidth="1"/>
    <col min="5" max="5" width="16.140625" bestFit="1" customWidth="1"/>
    <col min="6" max="6" width="44.42578125" bestFit="1" customWidth="1"/>
    <col min="7" max="7" width="39.5703125" bestFit="1" customWidth="1"/>
    <col min="8" max="8" width="34.7109375" bestFit="1" customWidth="1"/>
  </cols>
  <sheetData>
    <row r="1" spans="1:17" x14ac:dyDescent="0.25">
      <c r="A1" t="s">
        <v>8</v>
      </c>
      <c r="B1" t="s">
        <v>7</v>
      </c>
      <c r="C1" t="s">
        <v>9</v>
      </c>
      <c r="D1" t="s">
        <v>124</v>
      </c>
      <c r="E1" t="s">
        <v>10</v>
      </c>
      <c r="F1" t="s">
        <v>11</v>
      </c>
      <c r="G1" t="s">
        <v>34</v>
      </c>
      <c r="H1" t="s">
        <v>35</v>
      </c>
      <c r="I1" t="s">
        <v>42</v>
      </c>
      <c r="J1" t="s">
        <v>56</v>
      </c>
      <c r="K1" t="s">
        <v>61</v>
      </c>
      <c r="M1" t="s">
        <v>66</v>
      </c>
      <c r="N1" t="s">
        <v>68</v>
      </c>
      <c r="O1" t="s">
        <v>144</v>
      </c>
      <c r="P1" t="s">
        <v>145</v>
      </c>
      <c r="Q1" t="s">
        <v>146</v>
      </c>
    </row>
    <row r="2" spans="1:17" x14ac:dyDescent="0.25">
      <c r="A2">
        <v>1.5</v>
      </c>
      <c r="B2">
        <v>20</v>
      </c>
      <c r="C2">
        <v>4</v>
      </c>
      <c r="D2" t="s">
        <v>125</v>
      </c>
      <c r="E2">
        <v>18</v>
      </c>
      <c r="F2" t="s">
        <v>12</v>
      </c>
      <c r="G2" t="s">
        <v>36</v>
      </c>
      <c r="H2" t="s">
        <v>40</v>
      </c>
      <c r="J2">
        <v>1</v>
      </c>
      <c r="K2" t="s">
        <v>62</v>
      </c>
      <c r="L2" s="4" t="s">
        <v>64</v>
      </c>
      <c r="M2" t="s">
        <v>62</v>
      </c>
      <c r="N2" s="2">
        <v>6.9444444444444441E-3</v>
      </c>
      <c r="O2" s="2">
        <v>6.9444444444444447E-4</v>
      </c>
      <c r="P2" s="2">
        <v>6.9444444444444447E-4</v>
      </c>
      <c r="Q2" s="53">
        <v>1</v>
      </c>
    </row>
    <row r="3" spans="1:17" x14ac:dyDescent="0.25">
      <c r="A3">
        <v>1.55</v>
      </c>
      <c r="B3">
        <v>25</v>
      </c>
      <c r="C3">
        <v>5</v>
      </c>
      <c r="D3" t="s">
        <v>126</v>
      </c>
      <c r="E3">
        <v>19</v>
      </c>
      <c r="F3" t="s">
        <v>13</v>
      </c>
      <c r="G3" t="s">
        <v>37</v>
      </c>
      <c r="H3" t="s">
        <v>41</v>
      </c>
      <c r="J3">
        <v>2</v>
      </c>
      <c r="K3" t="s">
        <v>63</v>
      </c>
      <c r="L3" s="4" t="s">
        <v>65</v>
      </c>
      <c r="M3" t="s">
        <v>67</v>
      </c>
      <c r="N3" s="2">
        <v>1.0416666666666666E-2</v>
      </c>
      <c r="O3" s="2">
        <v>1.3888888888888889E-3</v>
      </c>
      <c r="P3" s="2">
        <v>1.3888888888888889E-3</v>
      </c>
      <c r="Q3" s="53">
        <v>2</v>
      </c>
    </row>
    <row r="4" spans="1:17" x14ac:dyDescent="0.25">
      <c r="A4">
        <v>1.6</v>
      </c>
      <c r="B4">
        <v>50</v>
      </c>
      <c r="C4">
        <v>6</v>
      </c>
      <c r="E4">
        <v>20</v>
      </c>
      <c r="F4" t="s">
        <v>14</v>
      </c>
      <c r="G4" t="s">
        <v>38</v>
      </c>
      <c r="J4">
        <v>3</v>
      </c>
      <c r="N4" s="2">
        <v>1.3888888888888888E-2</v>
      </c>
      <c r="O4" s="2">
        <v>2.0833333333333333E-3</v>
      </c>
      <c r="P4" s="2">
        <v>2.0833333333333333E-3</v>
      </c>
      <c r="Q4" s="53">
        <v>3</v>
      </c>
    </row>
    <row r="5" spans="1:17" x14ac:dyDescent="0.25">
      <c r="A5">
        <v>1.65</v>
      </c>
      <c r="C5">
        <v>7</v>
      </c>
      <c r="E5">
        <v>21</v>
      </c>
      <c r="F5" t="s">
        <v>15</v>
      </c>
      <c r="G5" t="s">
        <v>39</v>
      </c>
      <c r="J5">
        <v>4</v>
      </c>
      <c r="N5" s="2">
        <v>2.0833333333333332E-2</v>
      </c>
      <c r="O5" s="2">
        <v>2.7777777777777779E-3</v>
      </c>
      <c r="P5" s="2">
        <v>2.7777777777777779E-3</v>
      </c>
      <c r="Q5" s="53">
        <v>4</v>
      </c>
    </row>
    <row r="6" spans="1:17" x14ac:dyDescent="0.25">
      <c r="A6">
        <v>1.7</v>
      </c>
      <c r="C6">
        <v>8</v>
      </c>
      <c r="E6">
        <v>22</v>
      </c>
      <c r="J6">
        <v>5</v>
      </c>
      <c r="N6" s="2">
        <v>3.125E-2</v>
      </c>
      <c r="O6" s="2">
        <v>3.472222222222222E-3</v>
      </c>
      <c r="P6" s="2">
        <v>3.472222222222222E-3</v>
      </c>
      <c r="Q6" s="53">
        <v>5</v>
      </c>
    </row>
    <row r="7" spans="1:17" x14ac:dyDescent="0.25">
      <c r="A7">
        <v>1.75</v>
      </c>
      <c r="C7">
        <v>9</v>
      </c>
      <c r="E7">
        <v>23</v>
      </c>
      <c r="J7">
        <v>6</v>
      </c>
      <c r="N7" s="2">
        <v>4.1666666666666602E-2</v>
      </c>
      <c r="O7" s="2">
        <v>4.1666666666666666E-3</v>
      </c>
      <c r="P7" s="2">
        <v>4.1666666666666666E-3</v>
      </c>
      <c r="Q7" s="53">
        <v>6</v>
      </c>
    </row>
    <row r="8" spans="1:17" x14ac:dyDescent="0.25">
      <c r="A8">
        <v>1.8</v>
      </c>
      <c r="C8">
        <v>10</v>
      </c>
      <c r="E8">
        <v>24</v>
      </c>
      <c r="J8">
        <v>7</v>
      </c>
      <c r="N8" s="2">
        <v>5.2083333333333301E-2</v>
      </c>
      <c r="O8" s="2">
        <v>4.8611111111111112E-3</v>
      </c>
      <c r="P8" s="2">
        <v>4.8611111111111112E-3</v>
      </c>
      <c r="Q8" s="53">
        <v>7</v>
      </c>
    </row>
    <row r="9" spans="1:17" x14ac:dyDescent="0.25">
      <c r="A9">
        <v>1.85</v>
      </c>
      <c r="C9">
        <v>11</v>
      </c>
      <c r="E9">
        <v>25</v>
      </c>
      <c r="N9" s="2">
        <v>6.25E-2</v>
      </c>
      <c r="O9" s="2">
        <v>5.5555555555555497E-3</v>
      </c>
      <c r="P9" s="2">
        <v>5.5555555555555497E-3</v>
      </c>
      <c r="Q9" s="53">
        <v>8</v>
      </c>
    </row>
    <row r="10" spans="1:17" x14ac:dyDescent="0.25">
      <c r="A10">
        <v>1.9</v>
      </c>
      <c r="C10">
        <v>12</v>
      </c>
      <c r="E10">
        <v>26</v>
      </c>
      <c r="N10" s="2">
        <v>7.2916666666666699E-2</v>
      </c>
      <c r="O10" s="2">
        <v>6.2500000000000003E-3</v>
      </c>
      <c r="P10" s="2">
        <v>6.2500000000000003E-3</v>
      </c>
      <c r="Q10" s="53">
        <v>9</v>
      </c>
    </row>
    <row r="11" spans="1:17" x14ac:dyDescent="0.25">
      <c r="A11">
        <v>1.95</v>
      </c>
      <c r="E11">
        <v>27</v>
      </c>
      <c r="N11" s="2">
        <v>8.3333333333333398E-2</v>
      </c>
      <c r="O11" s="2">
        <v>6.9444444444444397E-3</v>
      </c>
      <c r="P11" s="2">
        <v>6.9444444444444397E-3</v>
      </c>
      <c r="Q11" s="53">
        <v>10</v>
      </c>
    </row>
    <row r="12" spans="1:17" x14ac:dyDescent="0.25">
      <c r="A12">
        <v>2</v>
      </c>
      <c r="E12">
        <v>28</v>
      </c>
      <c r="O12" s="2"/>
      <c r="P12" s="2">
        <v>7.63888888888888E-3</v>
      </c>
      <c r="Q12" s="53">
        <v>11</v>
      </c>
    </row>
    <row r="13" spans="1:17" x14ac:dyDescent="0.25">
      <c r="A13">
        <v>2.0499999999999998</v>
      </c>
      <c r="E13">
        <v>29</v>
      </c>
      <c r="O13" s="2"/>
      <c r="P13" s="2">
        <v>8.3333333333333297E-3</v>
      </c>
      <c r="Q13" s="53">
        <v>12</v>
      </c>
    </row>
    <row r="14" spans="1:17" x14ac:dyDescent="0.25">
      <c r="A14">
        <v>2.1</v>
      </c>
      <c r="E14">
        <v>30</v>
      </c>
      <c r="P14" s="2">
        <v>9.02777777777777E-3</v>
      </c>
      <c r="Q14" s="53">
        <v>13</v>
      </c>
    </row>
    <row r="15" spans="1:17" x14ac:dyDescent="0.25">
      <c r="A15">
        <v>2.15</v>
      </c>
      <c r="E15">
        <v>31</v>
      </c>
      <c r="P15" s="2">
        <v>9.7222222222222206E-3</v>
      </c>
      <c r="Q15" s="53">
        <v>14</v>
      </c>
    </row>
    <row r="16" spans="1:17" x14ac:dyDescent="0.25">
      <c r="A16">
        <v>2.2000000000000002</v>
      </c>
      <c r="P16" s="2">
        <v>1.0416666666666701E-2</v>
      </c>
      <c r="Q16" s="53">
        <v>15</v>
      </c>
    </row>
    <row r="17" spans="1:17" x14ac:dyDescent="0.25">
      <c r="A17">
        <v>2.25</v>
      </c>
      <c r="Q17" s="53">
        <v>16</v>
      </c>
    </row>
    <row r="18" spans="1:17" x14ac:dyDescent="0.25">
      <c r="A18">
        <v>2.2999999999999998</v>
      </c>
      <c r="L18" t="s">
        <v>158</v>
      </c>
      <c r="Q18" s="53">
        <v>17</v>
      </c>
    </row>
    <row r="19" spans="1:17" x14ac:dyDescent="0.25">
      <c r="A19">
        <v>2.35</v>
      </c>
      <c r="L19" s="1" t="s">
        <v>159</v>
      </c>
      <c r="M19" s="2">
        <v>1.3888888888888888E-2</v>
      </c>
      <c r="Q19" s="53">
        <v>18</v>
      </c>
    </row>
    <row r="20" spans="1:17" x14ac:dyDescent="0.25">
      <c r="A20">
        <v>2.4</v>
      </c>
      <c r="L20" s="1" t="s">
        <v>152</v>
      </c>
      <c r="M20" s="2">
        <v>1.3888888888888888E-2</v>
      </c>
      <c r="Q20" s="53">
        <v>19</v>
      </c>
    </row>
    <row r="21" spans="1:17" x14ac:dyDescent="0.25">
      <c r="A21">
        <v>2.4500000000000002</v>
      </c>
      <c r="L21" s="1" t="s">
        <v>153</v>
      </c>
      <c r="M21" s="2">
        <v>3.125E-2</v>
      </c>
      <c r="Q21" s="53">
        <v>20</v>
      </c>
    </row>
    <row r="22" spans="1:17" x14ac:dyDescent="0.25">
      <c r="A22">
        <v>2.5</v>
      </c>
      <c r="F22" t="s">
        <v>93</v>
      </c>
      <c r="G22" t="s">
        <v>43</v>
      </c>
      <c r="H22" t="s">
        <v>52</v>
      </c>
      <c r="Q22" s="53">
        <v>21</v>
      </c>
    </row>
    <row r="23" spans="1:17" x14ac:dyDescent="0.25">
      <c r="A23">
        <v>2.5499999999999998</v>
      </c>
      <c r="F23" t="s">
        <v>94</v>
      </c>
      <c r="G23" t="s">
        <v>57</v>
      </c>
      <c r="H23">
        <v>10</v>
      </c>
      <c r="I23" s="2">
        <v>6.9444444444444441E-3</v>
      </c>
      <c r="O23" s="2">
        <v>3.472222222222222E-3</v>
      </c>
      <c r="Q23" s="53">
        <v>22</v>
      </c>
    </row>
    <row r="24" spans="1:17" x14ac:dyDescent="0.25">
      <c r="A24">
        <v>2.6</v>
      </c>
      <c r="F24" t="s">
        <v>95</v>
      </c>
      <c r="G24" t="s">
        <v>58</v>
      </c>
      <c r="H24">
        <v>2</v>
      </c>
      <c r="I24" s="2">
        <v>1.3888888888888889E-3</v>
      </c>
      <c r="Q24" s="53">
        <v>23</v>
      </c>
    </row>
    <row r="25" spans="1:17" x14ac:dyDescent="0.25">
      <c r="A25">
        <v>2.65</v>
      </c>
      <c r="F25" t="s">
        <v>96</v>
      </c>
      <c r="G25" t="s">
        <v>44</v>
      </c>
      <c r="H25">
        <v>10</v>
      </c>
      <c r="I25" s="2">
        <v>6.9444444444444441E-3</v>
      </c>
      <c r="Q25" s="53">
        <v>24</v>
      </c>
    </row>
    <row r="26" spans="1:17" x14ac:dyDescent="0.25">
      <c r="A26">
        <v>2.7</v>
      </c>
      <c r="F26" t="s">
        <v>97</v>
      </c>
      <c r="G26" t="s">
        <v>45</v>
      </c>
      <c r="H26">
        <v>10</v>
      </c>
      <c r="I26" s="2">
        <v>6.9444444444444441E-3</v>
      </c>
      <c r="Q26" s="53">
        <v>25</v>
      </c>
    </row>
    <row r="27" spans="1:17" x14ac:dyDescent="0.25">
      <c r="A27">
        <v>2.75</v>
      </c>
      <c r="F27" t="s">
        <v>98</v>
      </c>
      <c r="G27" t="s">
        <v>46</v>
      </c>
      <c r="H27">
        <v>10</v>
      </c>
      <c r="I27" s="2">
        <v>6.9444444444444441E-3</v>
      </c>
      <c r="M27" t="s">
        <v>155</v>
      </c>
      <c r="Q27" s="53">
        <v>26</v>
      </c>
    </row>
    <row r="28" spans="1:17" x14ac:dyDescent="0.25">
      <c r="A28">
        <v>2.8</v>
      </c>
      <c r="F28" t="s">
        <v>99</v>
      </c>
      <c r="G28" t="s">
        <v>47</v>
      </c>
      <c r="H28">
        <v>10</v>
      </c>
      <c r="I28" s="2">
        <v>6.9444444444444441E-3</v>
      </c>
      <c r="M28" s="1" t="s">
        <v>16</v>
      </c>
      <c r="N28">
        <f>'Rapport final'!D55</f>
        <v>0.48888888888888854</v>
      </c>
      <c r="Q28" s="53">
        <v>27</v>
      </c>
    </row>
    <row r="29" spans="1:17" x14ac:dyDescent="0.25">
      <c r="A29">
        <v>2.85</v>
      </c>
      <c r="F29" t="s">
        <v>100</v>
      </c>
      <c r="I29" s="3"/>
      <c r="M29" s="1" t="s">
        <v>17</v>
      </c>
      <c r="N29">
        <f>'Rapport final'!I55</f>
        <v>0.63055555555555476</v>
      </c>
      <c r="Q29" s="53">
        <v>28</v>
      </c>
    </row>
    <row r="30" spans="1:17" x14ac:dyDescent="0.25">
      <c r="A30">
        <v>2.9</v>
      </c>
      <c r="F30" t="s">
        <v>101</v>
      </c>
      <c r="G30" t="s">
        <v>48</v>
      </c>
      <c r="H30">
        <v>10</v>
      </c>
      <c r="I30" s="2">
        <v>6.9444444444444441E-3</v>
      </c>
      <c r="M30" s="1" t="s">
        <v>156</v>
      </c>
      <c r="N30">
        <f>'Rapport final'!I75</f>
        <v>0.84166666666666512</v>
      </c>
      <c r="Q30" s="53">
        <v>29</v>
      </c>
    </row>
    <row r="31" spans="1:17" x14ac:dyDescent="0.25">
      <c r="A31">
        <v>2.95</v>
      </c>
      <c r="F31" t="s">
        <v>102</v>
      </c>
      <c r="G31" t="s">
        <v>49</v>
      </c>
      <c r="H31">
        <v>10</v>
      </c>
      <c r="I31" s="2">
        <v>6.9444444444444441E-3</v>
      </c>
      <c r="M31" s="1" t="s">
        <v>157</v>
      </c>
      <c r="N31">
        <f>'Rapport final'!N75</f>
        <v>0.9472222222222203</v>
      </c>
      <c r="Q31" s="53">
        <v>30</v>
      </c>
    </row>
    <row r="32" spans="1:17" x14ac:dyDescent="0.25">
      <c r="A32">
        <v>3</v>
      </c>
      <c r="F32" t="s">
        <v>103</v>
      </c>
      <c r="G32" t="s">
        <v>50</v>
      </c>
      <c r="H32">
        <v>10</v>
      </c>
      <c r="I32" s="2">
        <v>6.9444444444444441E-3</v>
      </c>
      <c r="M32" t="s">
        <v>19</v>
      </c>
      <c r="N32">
        <f>'Rapport final'!D93</f>
        <v>1.0027777777777758</v>
      </c>
      <c r="Q32" s="53">
        <v>31</v>
      </c>
    </row>
    <row r="33" spans="1:17" x14ac:dyDescent="0.25">
      <c r="A33">
        <v>3.05</v>
      </c>
      <c r="F33" t="s">
        <v>104</v>
      </c>
      <c r="G33" t="s">
        <v>51</v>
      </c>
      <c r="H33">
        <v>10</v>
      </c>
      <c r="I33" s="2">
        <v>6.9444444444444441E-3</v>
      </c>
      <c r="Q33" s="53">
        <v>32</v>
      </c>
    </row>
    <row r="34" spans="1:17" x14ac:dyDescent="0.25">
      <c r="A34">
        <v>3.1</v>
      </c>
      <c r="Q34" s="53">
        <v>33</v>
      </c>
    </row>
    <row r="35" spans="1:17" x14ac:dyDescent="0.25">
      <c r="A35">
        <v>3.15</v>
      </c>
      <c r="Q35" s="53">
        <v>34</v>
      </c>
    </row>
    <row r="36" spans="1:17" x14ac:dyDescent="0.25">
      <c r="A36">
        <v>3.2</v>
      </c>
      <c r="Q36" s="53">
        <v>35</v>
      </c>
    </row>
    <row r="37" spans="1:17" x14ac:dyDescent="0.25">
      <c r="A37">
        <v>3.25</v>
      </c>
      <c r="F37" t="s">
        <v>118</v>
      </c>
      <c r="Q37" s="53">
        <v>36</v>
      </c>
    </row>
    <row r="38" spans="1:17" x14ac:dyDescent="0.25">
      <c r="A38">
        <v>3.3</v>
      </c>
      <c r="F38" t="s">
        <v>120</v>
      </c>
      <c r="I38" s="2"/>
      <c r="Q38" s="53">
        <v>37</v>
      </c>
    </row>
    <row r="39" spans="1:17" x14ac:dyDescent="0.25">
      <c r="A39">
        <v>3.35</v>
      </c>
      <c r="F39" t="s">
        <v>119</v>
      </c>
      <c r="I39" s="2"/>
      <c r="Q39" s="53">
        <v>38</v>
      </c>
    </row>
    <row r="40" spans="1:17" x14ac:dyDescent="0.25">
      <c r="A40">
        <v>3.4</v>
      </c>
      <c r="F40" t="s">
        <v>121</v>
      </c>
      <c r="I40" s="2"/>
      <c r="Q40" s="53">
        <v>39</v>
      </c>
    </row>
    <row r="41" spans="1:17" x14ac:dyDescent="0.25">
      <c r="A41">
        <v>3.45</v>
      </c>
      <c r="F41" t="s">
        <v>122</v>
      </c>
      <c r="I41" s="2"/>
      <c r="Q41" s="53">
        <v>40</v>
      </c>
    </row>
    <row r="42" spans="1:17" x14ac:dyDescent="0.25">
      <c r="A42">
        <v>3.5</v>
      </c>
      <c r="F42" t="s">
        <v>123</v>
      </c>
      <c r="I42" s="2"/>
    </row>
    <row r="43" spans="1:17" x14ac:dyDescent="0.25">
      <c r="A43">
        <v>3.55</v>
      </c>
      <c r="I43" s="2"/>
    </row>
    <row r="44" spans="1:17" x14ac:dyDescent="0.25">
      <c r="A44">
        <v>3.6</v>
      </c>
    </row>
    <row r="45" spans="1:17" x14ac:dyDescent="0.25">
      <c r="A45">
        <v>3.65</v>
      </c>
    </row>
    <row r="46" spans="1:17" x14ac:dyDescent="0.25">
      <c r="A46">
        <v>3.7</v>
      </c>
    </row>
    <row r="47" spans="1:17" x14ac:dyDescent="0.25">
      <c r="A47">
        <v>3.75</v>
      </c>
    </row>
    <row r="48" spans="1:17" x14ac:dyDescent="0.25">
      <c r="A48">
        <v>3.8</v>
      </c>
    </row>
    <row r="49" spans="1:1" x14ac:dyDescent="0.25">
      <c r="A49">
        <v>3.85</v>
      </c>
    </row>
    <row r="50" spans="1:1" x14ac:dyDescent="0.25">
      <c r="A50">
        <v>3.9</v>
      </c>
    </row>
    <row r="51" spans="1:1" x14ac:dyDescent="0.25">
      <c r="A51">
        <v>3.95</v>
      </c>
    </row>
    <row r="52" spans="1:1" x14ac:dyDescent="0.25">
      <c r="A52">
        <v>4</v>
      </c>
    </row>
    <row r="53" spans="1:1" x14ac:dyDescent="0.25">
      <c r="A53">
        <v>4.05</v>
      </c>
    </row>
    <row r="54" spans="1:1" x14ac:dyDescent="0.25">
      <c r="A54">
        <v>4.0999999999999996</v>
      </c>
    </row>
    <row r="55" spans="1:1" x14ac:dyDescent="0.25">
      <c r="A55">
        <v>4.1500000000000004</v>
      </c>
    </row>
    <row r="56" spans="1:1" x14ac:dyDescent="0.25">
      <c r="A56">
        <v>4.2</v>
      </c>
    </row>
    <row r="57" spans="1:1" x14ac:dyDescent="0.25">
      <c r="A57">
        <v>4.25</v>
      </c>
    </row>
    <row r="58" spans="1:1" x14ac:dyDescent="0.25">
      <c r="A58">
        <v>4.3</v>
      </c>
    </row>
    <row r="59" spans="1:1" x14ac:dyDescent="0.25">
      <c r="A59">
        <v>4.3499999999999996</v>
      </c>
    </row>
    <row r="60" spans="1:1" x14ac:dyDescent="0.25">
      <c r="A60">
        <v>4.4000000000000004</v>
      </c>
    </row>
    <row r="61" spans="1:1" x14ac:dyDescent="0.25">
      <c r="A61">
        <v>4.45</v>
      </c>
    </row>
    <row r="62" spans="1:1" x14ac:dyDescent="0.25">
      <c r="A62">
        <v>4.5</v>
      </c>
    </row>
    <row r="63" spans="1:1" x14ac:dyDescent="0.25">
      <c r="A63">
        <v>4.55</v>
      </c>
    </row>
    <row r="64" spans="1:1" x14ac:dyDescent="0.25">
      <c r="A64">
        <v>4.5999999999999996</v>
      </c>
    </row>
    <row r="65" spans="1:1" x14ac:dyDescent="0.25">
      <c r="A65">
        <v>4.6500000000000004</v>
      </c>
    </row>
    <row r="66" spans="1:1" x14ac:dyDescent="0.25">
      <c r="A66">
        <v>4.7</v>
      </c>
    </row>
    <row r="67" spans="1:1" x14ac:dyDescent="0.25">
      <c r="A67">
        <v>4.75</v>
      </c>
    </row>
    <row r="68" spans="1:1" x14ac:dyDescent="0.25">
      <c r="A68">
        <v>4.8</v>
      </c>
    </row>
    <row r="69" spans="1:1" x14ac:dyDescent="0.25">
      <c r="A69">
        <v>4.8499999999999996</v>
      </c>
    </row>
    <row r="70" spans="1:1" x14ac:dyDescent="0.25">
      <c r="A70">
        <v>4.9000000000000004</v>
      </c>
    </row>
    <row r="71" spans="1:1" x14ac:dyDescent="0.25">
      <c r="A71">
        <v>4.95</v>
      </c>
    </row>
    <row r="72" spans="1:1" x14ac:dyDescent="0.25">
      <c r="A72">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24</vt:i4>
      </vt:variant>
    </vt:vector>
  </HeadingPairs>
  <TitlesOfParts>
    <vt:vector size="29" baseType="lpstr">
      <vt:lpstr>Aides</vt:lpstr>
      <vt:lpstr>Rapport final</vt:lpstr>
      <vt:lpstr>Déclaratif de l'événement</vt:lpstr>
      <vt:lpstr>Déclaratif Entité et Piscines</vt:lpstr>
      <vt:lpstr>Paramètres</vt:lpstr>
      <vt:lpstr>ANCRAGE</vt:lpstr>
      <vt:lpstr>CHOIX</vt:lpstr>
      <vt:lpstr>DOUCHE</vt:lpstr>
      <vt:lpstr>DUREE_ECHAUF</vt:lpstr>
      <vt:lpstr>DUREE_EPREUVE</vt:lpstr>
      <vt:lpstr>Echauf_bi</vt:lpstr>
      <vt:lpstr>echauf_Préc</vt:lpstr>
      <vt:lpstr>Echauf_R</vt:lpstr>
      <vt:lpstr>echauf_SB</vt:lpstr>
      <vt:lpstr>Epreuve_B</vt:lpstr>
      <vt:lpstr>Epreuve_P</vt:lpstr>
      <vt:lpstr>epreuve_R</vt:lpstr>
      <vt:lpstr>epreuve_SB</vt:lpstr>
      <vt:lpstr>EVACUATION</vt:lpstr>
      <vt:lpstr>INFOS_CLUBS</vt:lpstr>
      <vt:lpstr>INFOS_PISCINE</vt:lpstr>
      <vt:lpstr>Interechaufepreuv</vt:lpstr>
      <vt:lpstr>interpause</vt:lpstr>
      <vt:lpstr>MEDAILLE</vt:lpstr>
      <vt:lpstr>NBR_COMPET</vt:lpstr>
      <vt:lpstr>NOM_PISCINES</vt:lpstr>
      <vt:lpstr>Presence</vt:lpstr>
      <vt:lpstr>PROF_CIBLE</vt:lpstr>
      <vt:lpstr>TPS_PAUSE</vt:lpstr>
    </vt:vector>
  </TitlesOfParts>
  <Company>REHAU Industries AG&amp;Co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burcfre</dc:creator>
  <cp:lastModifiedBy>burcfre</cp:lastModifiedBy>
  <cp:lastPrinted>2023-02-08T13:46:35Z</cp:lastPrinted>
  <dcterms:created xsi:type="dcterms:W3CDTF">2023-02-06T10:14:34Z</dcterms:created>
  <dcterms:modified xsi:type="dcterms:W3CDTF">2023-02-08T13:55:43Z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434286-1dad-42db-a12c-ebf6360a61a3_Enabled">
    <vt:lpwstr>true</vt:lpwstr>
  </property>
  <property fmtid="{D5CDD505-2E9C-101B-9397-08002B2CF9AE}" pid="3" name="MSIP_Label_1c434286-1dad-42db-a12c-ebf6360a61a3_SetDate">
    <vt:lpwstr>2023-02-06T10:14:34Z</vt:lpwstr>
  </property>
  <property fmtid="{D5CDD505-2E9C-101B-9397-08002B2CF9AE}" pid="4" name="MSIP_Label_1c434286-1dad-42db-a12c-ebf6360a61a3_Method">
    <vt:lpwstr>Standard</vt:lpwstr>
  </property>
  <property fmtid="{D5CDD505-2E9C-101B-9397-08002B2CF9AE}" pid="5" name="MSIP_Label_1c434286-1dad-42db-a12c-ebf6360a61a3_Name">
    <vt:lpwstr>Internal</vt:lpwstr>
  </property>
  <property fmtid="{D5CDD505-2E9C-101B-9397-08002B2CF9AE}" pid="6" name="MSIP_Label_1c434286-1dad-42db-a12c-ebf6360a61a3_SiteId">
    <vt:lpwstr>8015e684-befa-475d-802b-fd235c2bdf91</vt:lpwstr>
  </property>
  <property fmtid="{D5CDD505-2E9C-101B-9397-08002B2CF9AE}" pid="7" name="MSIP_Label_1c434286-1dad-42db-a12c-ebf6360a61a3_ActionId">
    <vt:lpwstr>cd3281e5-9b00-42f9-8799-3b19a5cd552b</vt:lpwstr>
  </property>
  <property fmtid="{D5CDD505-2E9C-101B-9397-08002B2CF9AE}" pid="8" name="MSIP_Label_1c434286-1dad-42db-a12c-ebf6360a61a3_ContentBits">
    <vt:lpwstr>1</vt:lpwstr>
  </property>
</Properties>
</file>